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QuantLibXL-1.5.0\StandaloneExamples\Analytics\"/>
    </mc:Choice>
  </mc:AlternateContent>
  <bookViews>
    <workbookView xWindow="480" yWindow="60" windowWidth="14220" windowHeight="8835"/>
  </bookViews>
  <sheets>
    <sheet name="Sheet1" sheetId="1" r:id="rId1"/>
  </sheets>
  <definedNames>
    <definedName name="Interpolations">#REF!</definedName>
    <definedName name="solver_cvg" localSheetId="0" hidden="1">0.0001</definedName>
    <definedName name="solver_drv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neg" localSheetId="0" hidden="1">2</definedName>
    <definedName name="solver_num" localSheetId="0" hidden="1">0</definedName>
    <definedName name="solver_nwt" localSheetId="0" hidden="1">1</definedName>
    <definedName name="solver_opt" localSheetId="0" hidden="1">Sheet1!#REF!</definedName>
    <definedName name="solver_pre" localSheetId="0" hidden="1">0.000001</definedName>
    <definedName name="solver_scl" localSheetId="0" hidden="1">2</definedName>
    <definedName name="solver_sho" localSheetId="0" hidden="1">2</definedName>
    <definedName name="solver_tim" localSheetId="0" hidden="1">100</definedName>
    <definedName name="solver_tol" localSheetId="0" hidden="1">0.05</definedName>
    <definedName name="solver_typ" localSheetId="0" hidden="1">1</definedName>
    <definedName name="solver_val" localSheetId="0" hidden="1">0</definedName>
  </definedNames>
  <calcPr calcId="152511"/>
</workbook>
</file>

<file path=xl/calcChain.xml><?xml version="1.0" encoding="utf-8"?>
<calcChain xmlns="http://schemas.openxmlformats.org/spreadsheetml/2006/main">
  <c r="G8" i="1" l="1"/>
  <c r="F8" i="1"/>
  <c r="D8" i="1"/>
  <c r="D13" i="1"/>
  <c r="D31" i="1"/>
  <c r="D15" i="1"/>
  <c r="D28" i="1"/>
  <c r="A8" i="1"/>
  <c r="D26" i="1"/>
  <c r="D11" i="1"/>
  <c r="D12" i="1"/>
  <c r="A12" i="1"/>
  <c r="D30" i="1"/>
  <c r="D24" i="1"/>
  <c r="D22" i="1"/>
  <c r="D20" i="1"/>
  <c r="D10" i="1"/>
  <c r="A22" i="1"/>
  <c r="D19" i="1"/>
  <c r="D18" i="1"/>
  <c r="D33" i="1"/>
  <c r="D32" i="1"/>
  <c r="D29" i="1"/>
  <c r="D23" i="1"/>
  <c r="A23" i="1" s="1"/>
  <c r="D27" i="1"/>
  <c r="A18" i="1"/>
  <c r="A26" i="1"/>
  <c r="D14" i="1"/>
  <c r="D17" i="1"/>
  <c r="D16" i="1"/>
  <c r="A13" i="1"/>
  <c r="A16" i="1"/>
  <c r="D21" i="1"/>
  <c r="A14" i="1"/>
  <c r="A15" i="1"/>
  <c r="D25" i="1"/>
  <c r="D9" i="1"/>
  <c r="A9" i="1" s="1"/>
  <c r="B9" i="1" l="1"/>
  <c r="B23" i="1"/>
  <c r="B15" i="1"/>
  <c r="B14" i="1"/>
  <c r="E8" i="1"/>
  <c r="B16" i="1"/>
  <c r="B13" i="1"/>
  <c r="A10" i="1"/>
  <c r="A20" i="1"/>
  <c r="A28" i="1"/>
  <c r="A21" i="1"/>
  <c r="A17" i="1"/>
  <c r="A24" i="1"/>
  <c r="A19" i="1"/>
  <c r="A11" i="1"/>
  <c r="A25" i="1"/>
  <c r="A27" i="1"/>
  <c r="B24" i="1" l="1"/>
  <c r="B18" i="1"/>
  <c r="B17" i="1"/>
  <c r="B10" i="1"/>
  <c r="B27" i="1"/>
  <c r="B22" i="1"/>
  <c r="B21" i="1"/>
  <c r="B26" i="1"/>
  <c r="B25" i="1"/>
  <c r="B28" i="1"/>
  <c r="B12" i="1"/>
  <c r="B11" i="1"/>
  <c r="B20" i="1"/>
  <c r="B19" i="1"/>
  <c r="F9" i="1"/>
  <c r="E9" i="1" s="1"/>
  <c r="F10" i="1"/>
  <c r="E10" i="1" s="1"/>
  <c r="F27" i="1" l="1"/>
  <c r="E27" i="1" s="1"/>
  <c r="F14" i="1"/>
  <c r="E14" i="1" s="1"/>
  <c r="F16" i="1"/>
  <c r="E16" i="1" s="1"/>
  <c r="F18" i="1"/>
  <c r="E18" i="1" s="1"/>
  <c r="F11" i="1"/>
  <c r="E11" i="1" s="1"/>
  <c r="F15" i="1"/>
  <c r="E15" i="1" s="1"/>
  <c r="F26" i="1"/>
  <c r="E26" i="1" s="1"/>
  <c r="F20" i="1"/>
  <c r="E20" i="1" s="1"/>
  <c r="F25" i="1"/>
  <c r="E25" i="1" s="1"/>
  <c r="F13" i="1"/>
  <c r="E13" i="1" s="1"/>
  <c r="F21" i="1"/>
  <c r="E21" i="1" s="1"/>
  <c r="F28" i="1"/>
  <c r="E28" i="1" s="1"/>
  <c r="F12" i="1"/>
  <c r="E12" i="1" s="1"/>
  <c r="F19" i="1"/>
  <c r="E19" i="1" s="1"/>
  <c r="F17" i="1"/>
  <c r="E17" i="1" s="1"/>
  <c r="F23" i="1"/>
  <c r="E23" i="1" s="1"/>
  <c r="F24" i="1"/>
  <c r="E24" i="1" s="1"/>
  <c r="F22" i="1"/>
  <c r="E22" i="1" s="1"/>
  <c r="D5" i="1" l="1"/>
  <c r="L29" i="1"/>
  <c r="N14" i="1"/>
  <c r="N22" i="1"/>
  <c r="L33" i="1"/>
  <c r="M30" i="1"/>
  <c r="N31" i="1"/>
  <c r="N19" i="1"/>
  <c r="L32" i="1"/>
  <c r="I8" i="1" a="1"/>
  <c r="K4" i="1"/>
  <c r="K3" i="1"/>
  <c r="M29" i="1"/>
  <c r="N21" i="1"/>
  <c r="N17" i="1"/>
  <c r="N15" i="1"/>
  <c r="M31" i="1"/>
  <c r="N32" i="1"/>
  <c r="N16" i="1"/>
  <c r="L30" i="1"/>
  <c r="K8" i="1" a="1"/>
  <c r="N29" i="1"/>
  <c r="M33" i="1"/>
  <c r="N12" i="1"/>
  <c r="H9" i="1"/>
  <c r="M32" i="1"/>
  <c r="J8" i="1" a="1"/>
  <c r="N24" i="1"/>
  <c r="N18" i="1"/>
  <c r="N28" i="1"/>
  <c r="L31" i="1"/>
  <c r="N27" i="1"/>
  <c r="N11" i="1"/>
  <c r="N13" i="1"/>
  <c r="N9" i="1"/>
  <c r="L8" i="1" a="1"/>
  <c r="N25" i="1"/>
  <c r="K2" i="1"/>
  <c r="N8" i="1"/>
  <c r="N30" i="1"/>
  <c r="N23" i="1"/>
  <c r="M8" i="1" a="1"/>
  <c r="N33" i="1"/>
  <c r="N20" i="1"/>
  <c r="N10" i="1"/>
  <c r="N26" i="1"/>
  <c r="K5" i="1"/>
  <c r="K1" i="1"/>
  <c r="H10" i="1"/>
  <c r="H8" i="1"/>
  <c r="T26" i="1" l="1"/>
  <c r="T10" i="1"/>
  <c r="T20" i="1"/>
  <c r="M11" i="1"/>
  <c r="S11" i="1" s="1"/>
  <c r="M28" i="1"/>
  <c r="S28" i="1" s="1"/>
  <c r="M17" i="1"/>
  <c r="S17" i="1" s="1"/>
  <c r="M8" i="1"/>
  <c r="S8" i="1" s="1"/>
  <c r="M20" i="1"/>
  <c r="S20" i="1" s="1"/>
  <c r="M10" i="1"/>
  <c r="S10" i="1" s="1"/>
  <c r="M15" i="1"/>
  <c r="S15" i="1" s="1"/>
  <c r="M14" i="1"/>
  <c r="S14" i="1" s="1"/>
  <c r="M22" i="1"/>
  <c r="S22" i="1" s="1"/>
  <c r="M18" i="1"/>
  <c r="S18" i="1" s="1"/>
  <c r="M26" i="1"/>
  <c r="S26" i="1" s="1"/>
  <c r="M12" i="1"/>
  <c r="S12" i="1" s="1"/>
  <c r="M16" i="1"/>
  <c r="S16" i="1" s="1"/>
  <c r="M23" i="1"/>
  <c r="S23" i="1" s="1"/>
  <c r="M19" i="1"/>
  <c r="S19" i="1" s="1"/>
  <c r="M9" i="1"/>
  <c r="S9" i="1" s="1"/>
  <c r="M13" i="1"/>
  <c r="S13" i="1" s="1"/>
  <c r="M24" i="1"/>
  <c r="S24" i="1" s="1"/>
  <c r="M27" i="1"/>
  <c r="S27" i="1" s="1"/>
  <c r="M21" i="1"/>
  <c r="S21" i="1" s="1"/>
  <c r="M25" i="1"/>
  <c r="S25" i="1" s="1"/>
  <c r="T23" i="1"/>
  <c r="T8" i="1"/>
  <c r="T25" i="1"/>
  <c r="L18" i="1"/>
  <c r="R18" i="1" s="1"/>
  <c r="L22" i="1"/>
  <c r="R22" i="1" s="1"/>
  <c r="L12" i="1"/>
  <c r="R12" i="1" s="1"/>
  <c r="L15" i="1"/>
  <c r="R15" i="1" s="1"/>
  <c r="L11" i="1"/>
  <c r="R11" i="1" s="1"/>
  <c r="L26" i="1"/>
  <c r="R26" i="1" s="1"/>
  <c r="L19" i="1"/>
  <c r="R19" i="1" s="1"/>
  <c r="L23" i="1"/>
  <c r="R23" i="1" s="1"/>
  <c r="L27" i="1"/>
  <c r="R27" i="1" s="1"/>
  <c r="L21" i="1"/>
  <c r="R21" i="1" s="1"/>
  <c r="L8" i="1"/>
  <c r="R8" i="1" s="1"/>
  <c r="L13" i="1"/>
  <c r="R13" i="1" s="1"/>
  <c r="L9" i="1"/>
  <c r="R9" i="1" s="1"/>
  <c r="L17" i="1"/>
  <c r="R17" i="1" s="1"/>
  <c r="L20" i="1"/>
  <c r="R20" i="1" s="1"/>
  <c r="L24" i="1"/>
  <c r="R24" i="1" s="1"/>
  <c r="L14" i="1"/>
  <c r="R14" i="1" s="1"/>
  <c r="L10" i="1"/>
  <c r="R10" i="1" s="1"/>
  <c r="L25" i="1"/>
  <c r="R25" i="1" s="1"/>
  <c r="L28" i="1"/>
  <c r="R28" i="1" s="1"/>
  <c r="L16" i="1"/>
  <c r="R16" i="1" s="1"/>
  <c r="T9" i="1"/>
  <c r="T13" i="1"/>
  <c r="T11" i="1"/>
  <c r="T27" i="1"/>
  <c r="T28" i="1"/>
  <c r="T18" i="1"/>
  <c r="T24" i="1"/>
  <c r="J8" i="1"/>
  <c r="P8" i="1" s="1"/>
  <c r="J9" i="1"/>
  <c r="P9" i="1" s="1"/>
  <c r="J10" i="1"/>
  <c r="P10" i="1" s="1"/>
  <c r="J18" i="1"/>
  <c r="P18" i="1" s="1"/>
  <c r="J15" i="1"/>
  <c r="P15" i="1" s="1"/>
  <c r="J17" i="1"/>
  <c r="P17" i="1" s="1"/>
  <c r="J12" i="1"/>
  <c r="P12" i="1" s="1"/>
  <c r="J11" i="1"/>
  <c r="P11" i="1" s="1"/>
  <c r="J28" i="1"/>
  <c r="P28" i="1" s="1"/>
  <c r="J20" i="1"/>
  <c r="P20" i="1" s="1"/>
  <c r="J22" i="1"/>
  <c r="P22" i="1" s="1"/>
  <c r="J13" i="1"/>
  <c r="P13" i="1" s="1"/>
  <c r="J27" i="1"/>
  <c r="P27" i="1" s="1"/>
  <c r="J14" i="1"/>
  <c r="P14" i="1" s="1"/>
  <c r="J21" i="1"/>
  <c r="P21" i="1" s="1"/>
  <c r="J23" i="1"/>
  <c r="P23" i="1" s="1"/>
  <c r="J24" i="1"/>
  <c r="P24" i="1" s="1"/>
  <c r="J16" i="1"/>
  <c r="P16" i="1" s="1"/>
  <c r="J25" i="1"/>
  <c r="P25" i="1" s="1"/>
  <c r="J19" i="1"/>
  <c r="P19" i="1" s="1"/>
  <c r="J26" i="1"/>
  <c r="P26" i="1" s="1"/>
  <c r="T12" i="1"/>
  <c r="K14" i="1"/>
  <c r="Q14" i="1" s="1"/>
  <c r="K16" i="1"/>
  <c r="Q16" i="1" s="1"/>
  <c r="K24" i="1"/>
  <c r="Q24" i="1" s="1"/>
  <c r="K26" i="1"/>
  <c r="Q26" i="1" s="1"/>
  <c r="K23" i="1"/>
  <c r="Q23" i="1" s="1"/>
  <c r="K15" i="1"/>
  <c r="Q15" i="1" s="1"/>
  <c r="K20" i="1"/>
  <c r="Q20" i="1" s="1"/>
  <c r="K25" i="1"/>
  <c r="Q25" i="1" s="1"/>
  <c r="K27" i="1"/>
  <c r="Q27" i="1" s="1"/>
  <c r="K13" i="1"/>
  <c r="Q13" i="1" s="1"/>
  <c r="K17" i="1"/>
  <c r="Q17" i="1" s="1"/>
  <c r="K8" i="1"/>
  <c r="Q8" i="1" s="1"/>
  <c r="K10" i="1"/>
  <c r="Q10" i="1" s="1"/>
  <c r="K21" i="1"/>
  <c r="Q21" i="1" s="1"/>
  <c r="K22" i="1"/>
  <c r="Q22" i="1" s="1"/>
  <c r="K28" i="1"/>
  <c r="Q28" i="1" s="1"/>
  <c r="K19" i="1"/>
  <c r="Q19" i="1" s="1"/>
  <c r="K9" i="1"/>
  <c r="Q9" i="1" s="1"/>
  <c r="K12" i="1"/>
  <c r="Q12" i="1" s="1"/>
  <c r="K18" i="1"/>
  <c r="Q18" i="1" s="1"/>
  <c r="K11" i="1"/>
  <c r="Q11" i="1" s="1"/>
  <c r="T16" i="1"/>
  <c r="T15" i="1"/>
  <c r="T17" i="1"/>
  <c r="T21" i="1"/>
  <c r="I24" i="1"/>
  <c r="I22" i="1"/>
  <c r="I25" i="1"/>
  <c r="I17" i="1"/>
  <c r="I13" i="1"/>
  <c r="I14" i="1"/>
  <c r="I26" i="1"/>
  <c r="I8" i="1"/>
  <c r="I15" i="1"/>
  <c r="I11" i="1"/>
  <c r="I19" i="1"/>
  <c r="I20" i="1"/>
  <c r="I21" i="1"/>
  <c r="I9" i="1"/>
  <c r="I16" i="1"/>
  <c r="I12" i="1"/>
  <c r="I27" i="1"/>
  <c r="I10" i="1"/>
  <c r="I23" i="1"/>
  <c r="I18" i="1"/>
  <c r="I28" i="1"/>
  <c r="T19" i="1"/>
  <c r="T22" i="1"/>
  <c r="T14" i="1"/>
</calcChain>
</file>

<file path=xl/sharedStrings.xml><?xml version="1.0" encoding="utf-8"?>
<sst xmlns="http://schemas.openxmlformats.org/spreadsheetml/2006/main" count="52" uniqueCount="44">
  <si>
    <t>Actual/365 (Fixed)</t>
  </si>
  <si>
    <t>dt</t>
  </si>
  <si>
    <t>TARGET</t>
  </si>
  <si>
    <t>ForwardFlat</t>
  </si>
  <si>
    <t>Discount</t>
  </si>
  <si>
    <t>ForwardRate</t>
  </si>
  <si>
    <t>ZeroYield</t>
  </si>
  <si>
    <t>DayCounter</t>
  </si>
  <si>
    <t>MaxDate</t>
  </si>
  <si>
    <t>ReferenceDate</t>
  </si>
  <si>
    <t>Calendar</t>
  </si>
  <si>
    <t>SettlementDays</t>
  </si>
  <si>
    <t>Times</t>
  </si>
  <si>
    <t>Dates</t>
  </si>
  <si>
    <t>Data</t>
  </si>
  <si>
    <t>InterpolatorID</t>
  </si>
  <si>
    <t>2D</t>
  </si>
  <si>
    <t>3M</t>
  </si>
  <si>
    <t>6M</t>
  </si>
  <si>
    <t>9M</t>
  </si>
  <si>
    <t>12M</t>
  </si>
  <si>
    <t>15M</t>
  </si>
  <si>
    <t>18M</t>
  </si>
  <si>
    <t>21M</t>
  </si>
  <si>
    <t>2Y</t>
  </si>
  <si>
    <t>3Y</t>
  </si>
  <si>
    <t>4Y</t>
  </si>
  <si>
    <t>5Y</t>
  </si>
  <si>
    <t>6Y</t>
  </si>
  <si>
    <t>7Y</t>
  </si>
  <si>
    <t>8Y</t>
  </si>
  <si>
    <t>9Y</t>
  </si>
  <si>
    <t>10Y</t>
  </si>
  <si>
    <t>15Y</t>
  </si>
  <si>
    <t>20Y</t>
  </si>
  <si>
    <t>25Y</t>
  </si>
  <si>
    <t>30Y</t>
  </si>
  <si>
    <t>31Y</t>
  </si>
  <si>
    <t>40Y</t>
  </si>
  <si>
    <t>50Y</t>
  </si>
  <si>
    <t>60Y</t>
  </si>
  <si>
    <t>35Y</t>
  </si>
  <si>
    <t>Quarterly</t>
    <phoneticPr fontId="2" type="noConversion"/>
  </si>
  <si>
    <t>TraitsID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</si>
</sst>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ddd\,\ d\-mmm\-yyyy"/>
    <numFmt numFmtId="177" formatCode="0.0000"/>
    <numFmt numFmtId="178" formatCode="0.000000000"/>
    <numFmt numFmtId="179" formatCode="0.0000%"/>
  </numFmts>
  <fonts count="4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8">
    <xf numFmtId="0" fontId="0" fillId="0" borderId="0" xfId="0"/>
    <xf numFmtId="0" fontId="3" fillId="0" borderId="0" xfId="0" applyFont="1"/>
    <xf numFmtId="176" fontId="3" fillId="0" borderId="0" xfId="0" applyNumberFormat="1" applyFont="1"/>
    <xf numFmtId="177" fontId="3" fillId="0" borderId="0" xfId="0" applyNumberFormat="1" applyFont="1"/>
    <xf numFmtId="178" fontId="3" fillId="0" borderId="0" xfId="0" applyNumberFormat="1" applyFont="1"/>
    <xf numFmtId="179" fontId="3" fillId="0" borderId="0" xfId="0" applyNumberFormat="1" applyFont="1"/>
    <xf numFmtId="179" fontId="3" fillId="0" borderId="0" xfId="1" applyNumberFormat="1" applyFont="1"/>
    <xf numFmtId="0" fontId="3" fillId="0" borderId="0" xfId="0" applyFont="1" applyAlignment="1">
      <alignment horizontal="center"/>
    </xf>
    <xf numFmtId="1" fontId="3" fillId="0" borderId="0" xfId="0" applyNumberFormat="1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77" fontId="3" fillId="0" borderId="4" xfId="0" applyNumberFormat="1" applyFont="1" applyBorder="1"/>
    <xf numFmtId="177" fontId="3" fillId="0" borderId="5" xfId="0" applyNumberFormat="1" applyFont="1" applyBorder="1"/>
    <xf numFmtId="176" fontId="3" fillId="0" borderId="5" xfId="0" applyNumberFormat="1" applyFont="1" applyBorder="1"/>
    <xf numFmtId="178" fontId="3" fillId="0" borderId="5" xfId="0" applyNumberFormat="1" applyFont="1" applyBorder="1"/>
    <xf numFmtId="179" fontId="3" fillId="0" borderId="5" xfId="0" applyNumberFormat="1" applyFont="1" applyBorder="1"/>
    <xf numFmtId="179" fontId="3" fillId="0" borderId="6" xfId="0" applyNumberFormat="1" applyFont="1" applyBorder="1"/>
    <xf numFmtId="177" fontId="3" fillId="0" borderId="7" xfId="0" applyNumberFormat="1" applyFont="1" applyBorder="1"/>
    <xf numFmtId="177" fontId="3" fillId="0" borderId="0" xfId="0" applyNumberFormat="1" applyFont="1" applyBorder="1"/>
    <xf numFmtId="176" fontId="3" fillId="0" borderId="0" xfId="0" applyNumberFormat="1" applyFont="1" applyBorder="1"/>
    <xf numFmtId="178" fontId="3" fillId="0" borderId="0" xfId="0" applyNumberFormat="1" applyFont="1" applyBorder="1"/>
    <xf numFmtId="179" fontId="3" fillId="0" borderId="0" xfId="0" applyNumberFormat="1" applyFont="1" applyBorder="1"/>
    <xf numFmtId="179" fontId="3" fillId="0" borderId="8" xfId="0" applyNumberFormat="1" applyFont="1" applyBorder="1"/>
    <xf numFmtId="177" fontId="3" fillId="0" borderId="9" xfId="0" applyNumberFormat="1" applyFont="1" applyBorder="1"/>
    <xf numFmtId="177" fontId="3" fillId="0" borderId="10" xfId="0" applyNumberFormat="1" applyFont="1" applyBorder="1"/>
    <xf numFmtId="176" fontId="3" fillId="0" borderId="10" xfId="0" applyNumberFormat="1" applyFont="1" applyBorder="1"/>
    <xf numFmtId="178" fontId="3" fillId="0" borderId="10" xfId="0" applyNumberFormat="1" applyFont="1" applyBorder="1"/>
    <xf numFmtId="179" fontId="3" fillId="0" borderId="10" xfId="0" applyNumberFormat="1" applyFont="1" applyBorder="1"/>
    <xf numFmtId="179" fontId="3" fillId="0" borderId="11" xfId="0" applyNumberFormat="1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0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179" fontId="3" fillId="0" borderId="5" xfId="1" applyNumberFormat="1" applyFont="1" applyBorder="1"/>
    <xf numFmtId="179" fontId="3" fillId="0" borderId="0" xfId="1" applyNumberFormat="1" applyFont="1" applyBorder="1"/>
    <xf numFmtId="179" fontId="3" fillId="0" borderId="10" xfId="1" applyNumberFormat="1" applyFont="1" applyBorder="1"/>
    <xf numFmtId="176" fontId="3" fillId="0" borderId="7" xfId="0" applyNumberFormat="1" applyFont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179" fontId="3" fillId="2" borderId="8" xfId="0" applyNumberFormat="1" applyFont="1" applyFill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37"/>
  <sheetViews>
    <sheetView tabSelected="1" workbookViewId="0">
      <selection activeCell="N10" sqref="N10"/>
    </sheetView>
  </sheetViews>
  <sheetFormatPr defaultRowHeight="11.25" x14ac:dyDescent="0.2"/>
  <cols>
    <col min="1" max="1" width="8" style="1" bestFit="1" customWidth="1"/>
    <col min="2" max="2" width="8" style="1" customWidth="1"/>
    <col min="3" max="3" width="7" style="1" customWidth="1"/>
    <col min="4" max="4" width="19.28515625" style="1" bestFit="1" customWidth="1"/>
    <col min="5" max="5" width="15.140625" style="1" bestFit="1" customWidth="1"/>
    <col min="6" max="6" width="10" style="1" bestFit="1" customWidth="1"/>
    <col min="7" max="7" width="12" style="1" bestFit="1" customWidth="1"/>
    <col min="8" max="8" width="9.42578125" style="1" customWidth="1"/>
    <col min="9" max="9" width="7" style="1" bestFit="1" customWidth="1"/>
    <col min="10" max="10" width="8" style="1" bestFit="1" customWidth="1"/>
    <col min="11" max="11" width="19.28515625" style="1" bestFit="1" customWidth="1"/>
    <col min="12" max="12" width="15.140625" style="1" bestFit="1" customWidth="1"/>
    <col min="13" max="13" width="10" style="1" bestFit="1" customWidth="1"/>
    <col min="14" max="14" width="12" style="1" bestFit="1" customWidth="1"/>
    <col min="15" max="15" width="8.140625" style="1" customWidth="1"/>
    <col min="16" max="16" width="7" style="1" bestFit="1" customWidth="1"/>
    <col min="17" max="17" width="2" style="1" bestFit="1" customWidth="1"/>
    <col min="18" max="18" width="8" style="1" bestFit="1" customWidth="1"/>
    <col min="19" max="20" width="9" style="1" bestFit="1" customWidth="1"/>
    <col min="21" max="21" width="8" style="1" bestFit="1" customWidth="1"/>
    <col min="22" max="16384" width="9.140625" style="1"/>
  </cols>
  <sheetData>
    <row r="1" spans="1:21" x14ac:dyDescent="0.2">
      <c r="D1" s="30" t="s">
        <v>0</v>
      </c>
      <c r="E1" s="32" t="s">
        <v>7</v>
      </c>
      <c r="K1" s="30" t="str">
        <f ca="1">_xll.qlTermStructureDayCounter($D$5)</f>
        <v>Actual/365 (Fixed)</v>
      </c>
      <c r="L1" s="32" t="s">
        <v>7</v>
      </c>
    </row>
    <row r="2" spans="1:21" x14ac:dyDescent="0.2">
      <c r="D2" s="33" t="s">
        <v>2</v>
      </c>
      <c r="E2" s="35" t="s">
        <v>10</v>
      </c>
      <c r="K2" s="33" t="str">
        <f ca="1">_xll.qlTermStructureCalendar($D$5)</f>
        <v>TARGET</v>
      </c>
      <c r="L2" s="35" t="s">
        <v>10</v>
      </c>
    </row>
    <row r="3" spans="1:21" x14ac:dyDescent="0.2">
      <c r="D3" s="33" t="s">
        <v>5</v>
      </c>
      <c r="E3" s="35" t="s">
        <v>43</v>
      </c>
      <c r="K3" s="42">
        <f ca="1">_xll.qlTermStructureReferenceDate($D$5)</f>
        <v>42199</v>
      </c>
      <c r="L3" s="35" t="s">
        <v>9</v>
      </c>
    </row>
    <row r="4" spans="1:21" x14ac:dyDescent="0.2">
      <c r="D4" s="36" t="s">
        <v>3</v>
      </c>
      <c r="E4" s="38" t="s">
        <v>15</v>
      </c>
      <c r="K4" s="42">
        <f ca="1">_xll.qlTermStructureMaxDate($D$5)</f>
        <v>53157</v>
      </c>
      <c r="L4" s="35" t="s">
        <v>8</v>
      </c>
    </row>
    <row r="5" spans="1:21" x14ac:dyDescent="0.2">
      <c r="D5" s="1" t="str">
        <f ca="1">_xll.qlInterpolatedYieldCurve(,$D$8:$D$28,IF($D$3=$E$7,E8:E28,IF($D$3=$F$7,F8:F28,G8:G28)),$D$2,$D$1,,,D3,D4)</f>
        <v>obj_00000#0014</v>
      </c>
      <c r="K5" s="36" t="e">
        <f ca="1">_xll.qlTermStructureSettlementDays($D$5)</f>
        <v>#NUM!</v>
      </c>
      <c r="L5" s="38" t="s">
        <v>11</v>
      </c>
    </row>
    <row r="7" spans="1:21" x14ac:dyDescent="0.2">
      <c r="A7" s="9" t="s">
        <v>12</v>
      </c>
      <c r="B7" s="10" t="s">
        <v>1</v>
      </c>
      <c r="C7" s="10"/>
      <c r="D7" s="10" t="s">
        <v>13</v>
      </c>
      <c r="E7" s="10" t="s">
        <v>4</v>
      </c>
      <c r="F7" s="10" t="s">
        <v>6</v>
      </c>
      <c r="G7" s="11" t="s">
        <v>5</v>
      </c>
      <c r="H7" s="1" t="s">
        <v>42</v>
      </c>
      <c r="I7" s="9" t="s">
        <v>14</v>
      </c>
      <c r="J7" s="10" t="s">
        <v>12</v>
      </c>
      <c r="K7" s="10" t="s">
        <v>13</v>
      </c>
      <c r="L7" s="10" t="s">
        <v>4</v>
      </c>
      <c r="M7" s="10" t="s">
        <v>6</v>
      </c>
      <c r="N7" s="11" t="s">
        <v>5</v>
      </c>
      <c r="R7" s="7"/>
      <c r="S7" s="7"/>
      <c r="T7" s="7"/>
      <c r="U7" s="7"/>
    </row>
    <row r="8" spans="1:21" x14ac:dyDescent="0.2">
      <c r="A8" s="12">
        <f ca="1">_xll.qlDayCounterYearFraction($D$1,$D$8,D8)</f>
        <v>0</v>
      </c>
      <c r="B8" s="13"/>
      <c r="C8" s="43" t="s">
        <v>16</v>
      </c>
      <c r="D8" s="14">
        <f ca="1">_xll.qlCalendarAdvance($D$2,TODAY(),"2D")</f>
        <v>42199</v>
      </c>
      <c r="E8" s="15">
        <f ca="1">EXP(-F8*A8)</f>
        <v>1</v>
      </c>
      <c r="F8" s="16">
        <f>G8</f>
        <v>0.04</v>
      </c>
      <c r="G8" s="17">
        <f>G9</f>
        <v>0.04</v>
      </c>
      <c r="H8" s="1">
        <f ca="1">_xll.qlYieldTSForwardRate(D$5,$D8,$D8,$D$1,"Simple","Quarterly")</f>
        <v>4.0000079999380489E-2</v>
      </c>
      <c r="I8" s="12">
        <f t="array" aca="1" ref="I8:I28" ca="1">_xll.qlInterpolatedYieldCurveData($D$5)</f>
        <v>0.04</v>
      </c>
      <c r="J8" s="13">
        <f t="array" aca="1" ref="J8:J28" ca="1">_xll.qlInterpolatedYieldCurveTimes($D$5)</f>
        <v>0</v>
      </c>
      <c r="K8" s="14">
        <f t="array" aca="1" ref="K8:K28" ca="1">_xll.qlInterpolatedYieldCurveDates($D$5)</f>
        <v>42199</v>
      </c>
      <c r="L8" s="15">
        <f t="array" aca="1" ref="L8:L28" ca="1">_xll.qlYieldTSDiscount(D$5,$D$8:$D$28)</f>
        <v>1</v>
      </c>
      <c r="M8" s="39">
        <f t="array" aca="1" ref="M8:M28" ca="1">_xll.qlYieldTSZeroRate(D$5,$D$8:$D$28,$D$1)</f>
        <v>3.9999999999273825E-2</v>
      </c>
      <c r="N8" s="17">
        <f ca="1">_xll.qlYieldTSForwardRate(D$5,$D8,$D8,$D$1,"continuous","annual")</f>
        <v>3.9999999999273825E-2</v>
      </c>
      <c r="P8" s="3">
        <f t="shared" ref="P8:P28" ca="1" si="0">J8-A8</f>
        <v>0</v>
      </c>
      <c r="Q8" s="8">
        <f t="shared" ref="Q8:Q28" ca="1" si="1">K8-D8</f>
        <v>0</v>
      </c>
      <c r="R8" s="3">
        <f t="shared" ref="R8:R28" ca="1" si="2">L8-E8</f>
        <v>0</v>
      </c>
      <c r="S8" s="6">
        <f t="shared" ref="S8:S28" ca="1" si="3">M8-F8</f>
        <v>-7.2617606372560317E-13</v>
      </c>
      <c r="T8" s="5">
        <f t="shared" ref="T8:T28" ca="1" si="4">N8-G8</f>
        <v>-7.2617606372560317E-13</v>
      </c>
      <c r="U8" s="5"/>
    </row>
    <row r="9" spans="1:21" x14ac:dyDescent="0.2">
      <c r="A9" s="18">
        <f ca="1">_xll.qlDayCounterYearFraction($D$1,$D$8,D9)</f>
        <v>0.25205479452054796</v>
      </c>
      <c r="B9" s="19">
        <f ca="1">A9-A8</f>
        <v>0.25205479452054796</v>
      </c>
      <c r="C9" s="43" t="s">
        <v>17</v>
      </c>
      <c r="D9" s="20">
        <f ca="1">_xll.qlCalendarAdvance($D$2,$D$8,C9)</f>
        <v>42291</v>
      </c>
      <c r="E9" s="21">
        <f t="shared" ref="E9:E28" ca="1" si="5">EXP(-F9*A9)</f>
        <v>0.98996846313427345</v>
      </c>
      <c r="F9" s="22">
        <f ca="1">SUMPRODUCT($B$9:B9,$G$9:G9)/A9</f>
        <v>0.04</v>
      </c>
      <c r="G9" s="23">
        <v>0.04</v>
      </c>
      <c r="H9" s="1">
        <f ca="1">_xll.qlYieldTSForwardRate(D$5,$D9,$D9,$D$1,"Simple","Quarterly")</f>
        <v>4.0000079999380489E-2</v>
      </c>
      <c r="I9" s="18">
        <f ca="1"/>
        <v>0.04</v>
      </c>
      <c r="J9" s="19">
        <f ca="1"/>
        <v>0.25205479452054796</v>
      </c>
      <c r="K9" s="20">
        <f ca="1"/>
        <v>42291</v>
      </c>
      <c r="L9" s="21">
        <f ca="1"/>
        <v>0.98996846313427345</v>
      </c>
      <c r="M9" s="40">
        <f ca="1"/>
        <v>4.0000000000000112E-2</v>
      </c>
      <c r="N9" s="23">
        <f ca="1">_xll.qlYieldTSForwardRate(D$5,$D9,$D9,$D$1,"continuous","annual")</f>
        <v>3.9999999999273825E-2</v>
      </c>
      <c r="P9" s="3">
        <f t="shared" ca="1" si="0"/>
        <v>0</v>
      </c>
      <c r="Q9" s="8">
        <f t="shared" ca="1" si="1"/>
        <v>0</v>
      </c>
      <c r="R9" s="3">
        <f t="shared" ca="1" si="2"/>
        <v>0</v>
      </c>
      <c r="S9" s="6">
        <f t="shared" ca="1" si="3"/>
        <v>1.1102230246251565E-16</v>
      </c>
      <c r="T9" s="5">
        <f t="shared" ca="1" si="4"/>
        <v>-7.2617606372560317E-13</v>
      </c>
      <c r="U9" s="5"/>
    </row>
    <row r="10" spans="1:21" x14ac:dyDescent="0.2">
      <c r="A10" s="18">
        <f ca="1">_xll.qlDayCounterYearFraction($D$1,$D$8,D10)</f>
        <v>0.50410958904109593</v>
      </c>
      <c r="B10" s="19">
        <f t="shared" ref="B10:B28" ca="1" si="6">A10-A9</f>
        <v>0.25205479452054796</v>
      </c>
      <c r="C10" s="43" t="s">
        <v>18</v>
      </c>
      <c r="D10" s="20">
        <f ca="1">_xll.qlCalendarAdvance($D$2,$D$8,C10)</f>
        <v>42383</v>
      </c>
      <c r="E10" s="21">
        <f t="shared" ca="1" si="5"/>
        <v>0.98251090543941544</v>
      </c>
      <c r="F10" s="22">
        <f ca="1">SUMPRODUCT($B$9:B10,$G$9:G10)/A10</f>
        <v>3.4999999999999996E-2</v>
      </c>
      <c r="G10" s="47">
        <v>0.03</v>
      </c>
      <c r="H10" s="1">
        <f ca="1">_xll.qlYieldTSForwardRate(D$5,$D10,$D10,$D$1,"Simple","Quarterly")</f>
        <v>3.5000061251455605E-2</v>
      </c>
      <c r="I10" s="18">
        <f ca="1"/>
        <v>0.03</v>
      </c>
      <c r="J10" s="19">
        <f ca="1"/>
        <v>0.50410958904109593</v>
      </c>
      <c r="K10" s="20">
        <f ca="1"/>
        <v>42383</v>
      </c>
      <c r="L10" s="21">
        <f ca="1"/>
        <v>0.98003755800043535</v>
      </c>
      <c r="M10" s="40">
        <f ca="1"/>
        <v>4.0000000000000042E-2</v>
      </c>
      <c r="N10" s="47">
        <f ca="1">_xll.qlYieldTSForwardRate(D$5,$D10,$D10,$D$1,"continuous","annual")</f>
        <v>3.5000000001384139E-2</v>
      </c>
      <c r="P10" s="3">
        <f t="shared" ca="1" si="0"/>
        <v>0</v>
      </c>
      <c r="Q10" s="8">
        <f t="shared" ca="1" si="1"/>
        <v>0</v>
      </c>
      <c r="R10" s="3">
        <f t="shared" ca="1" si="2"/>
        <v>-2.4733474389800891E-3</v>
      </c>
      <c r="S10" s="6">
        <f t="shared" ca="1" si="3"/>
        <v>5.0000000000000461E-3</v>
      </c>
      <c r="T10" s="5">
        <f t="shared" ca="1" si="4"/>
        <v>5.0000000013841403E-3</v>
      </c>
      <c r="U10" s="5"/>
    </row>
    <row r="11" spans="1:21" x14ac:dyDescent="0.2">
      <c r="A11" s="18">
        <f ca="1">_xll.qlDayCounterYearFraction($D$1,$D$8,D11)</f>
        <v>0.75342465753424659</v>
      </c>
      <c r="B11" s="19">
        <f t="shared" ca="1" si="6"/>
        <v>0.24931506849315066</v>
      </c>
      <c r="C11" s="43" t="s">
        <v>19</v>
      </c>
      <c r="D11" s="20">
        <f ca="1">_xll.qlCalendarAdvance($D$2,$D$8,C11)</f>
        <v>42474</v>
      </c>
      <c r="E11" s="21">
        <f t="shared" ca="1" si="5"/>
        <v>0.97397478573180063</v>
      </c>
      <c r="F11" s="22">
        <f ca="1">SUMPRODUCT($B$9:B11,$G$9:G11)/A11</f>
        <v>3.4999999999999996E-2</v>
      </c>
      <c r="G11" s="23">
        <v>3.5000000000000003E-2</v>
      </c>
      <c r="I11" s="18">
        <f ca="1"/>
        <v>3.5000000000000003E-2</v>
      </c>
      <c r="J11" s="19">
        <f ca="1"/>
        <v>0.75342465753424659</v>
      </c>
      <c r="K11" s="20">
        <f ca="1"/>
        <v>42474</v>
      </c>
      <c r="L11" s="21">
        <f ca="1"/>
        <v>0.97273475858703784</v>
      </c>
      <c r="M11" s="40">
        <f ca="1"/>
        <v>3.6690909090909149E-2</v>
      </c>
      <c r="N11" s="23">
        <f ca="1">_xll.qlYieldTSForwardRate(D$5,$D11,$D11,$D$1,"continuous","annual")</f>
        <v>3.2500000000853957E-2</v>
      </c>
      <c r="P11" s="3">
        <f t="shared" ca="1" si="0"/>
        <v>0</v>
      </c>
      <c r="Q11" s="8">
        <f t="shared" ca="1" si="1"/>
        <v>0</v>
      </c>
      <c r="R11" s="3">
        <f t="shared" ca="1" si="2"/>
        <v>-1.2400271447627897E-3</v>
      </c>
      <c r="S11" s="6">
        <f t="shared" ca="1" si="3"/>
        <v>1.6909090909091526E-3</v>
      </c>
      <c r="T11" s="5">
        <f t="shared" ca="1" si="4"/>
        <v>-2.4999999991460464E-3</v>
      </c>
      <c r="U11" s="5"/>
    </row>
    <row r="12" spans="1:21" x14ac:dyDescent="0.2">
      <c r="A12" s="18">
        <f ca="1">_xll.qlDayCounterYearFraction($D$1,$D$8,D12)</f>
        <v>1.0027397260273974</v>
      </c>
      <c r="B12" s="19">
        <f t="shared" ca="1" si="6"/>
        <v>0.24931506849315077</v>
      </c>
      <c r="C12" s="43" t="s">
        <v>20</v>
      </c>
      <c r="D12" s="20">
        <f ca="1">_xll.qlCalendarAdvance($D$2,$D$8,C12)</f>
        <v>42565</v>
      </c>
      <c r="E12" s="21">
        <f t="shared" ca="1" si="5"/>
        <v>0.9647909477030191</v>
      </c>
      <c r="F12" s="22">
        <f ca="1">SUMPRODUCT($B$9:B12,$G$9:G12)/A12</f>
        <v>3.5745901639344262E-2</v>
      </c>
      <c r="G12" s="23">
        <v>3.7999999999999999E-2</v>
      </c>
      <c r="I12" s="18">
        <f ca="1"/>
        <v>3.7999999999999999E-2</v>
      </c>
      <c r="J12" s="19">
        <f ca="1"/>
        <v>1.0027397260273974</v>
      </c>
      <c r="K12" s="20">
        <f ca="1"/>
        <v>42565</v>
      </c>
      <c r="L12" s="21">
        <f ca="1"/>
        <v>0.96428357468965076</v>
      </c>
      <c r="M12" s="40">
        <f ca="1"/>
        <v>3.6270491803278723E-2</v>
      </c>
      <c r="N12" s="23">
        <f ca="1">_xll.qlYieldTSForwardRate(D$5,$D12,$D12,$D$1,"continuous","annual")</f>
        <v>3.6500000001017344E-2</v>
      </c>
      <c r="P12" s="3">
        <f t="shared" ca="1" si="0"/>
        <v>0</v>
      </c>
      <c r="Q12" s="8">
        <f t="shared" ca="1" si="1"/>
        <v>0</v>
      </c>
      <c r="R12" s="3">
        <f t="shared" ca="1" si="2"/>
        <v>-5.0737301336833962E-4</v>
      </c>
      <c r="S12" s="6">
        <f t="shared" ca="1" si="3"/>
        <v>5.2459016393446162E-4</v>
      </c>
      <c r="T12" s="5">
        <f t="shared" ca="1" si="4"/>
        <v>-1.4999999989826554E-3</v>
      </c>
      <c r="U12" s="5"/>
    </row>
    <row r="13" spans="1:21" x14ac:dyDescent="0.2">
      <c r="A13" s="18">
        <f ca="1">_xll.qlDayCounterYearFraction($D$1,$D$8,D13)</f>
        <v>1.2547945205479452</v>
      </c>
      <c r="B13" s="19">
        <f t="shared" ca="1" si="6"/>
        <v>0.2520547945205478</v>
      </c>
      <c r="C13" s="43" t="s">
        <v>21</v>
      </c>
      <c r="D13" s="20">
        <f ca="1">_xll.qlCalendarAdvance($D$2,$D$8,C13)</f>
        <v>42657</v>
      </c>
      <c r="E13" s="21">
        <f t="shared" ca="1" si="5"/>
        <v>0.95511261174341699</v>
      </c>
      <c r="F13" s="22">
        <f ca="1">SUMPRODUCT($B$9:B13,$G$9:G13)/A13</f>
        <v>3.6600436681222703E-2</v>
      </c>
      <c r="G13" s="23">
        <v>0.04</v>
      </c>
      <c r="I13" s="18">
        <f ca="1"/>
        <v>0.04</v>
      </c>
      <c r="J13" s="19">
        <f ca="1"/>
        <v>1.2547945205479452</v>
      </c>
      <c r="K13" s="20">
        <f ca="1"/>
        <v>42657</v>
      </c>
      <c r="L13" s="21">
        <f ca="1"/>
        <v>0.95509167799777683</v>
      </c>
      <c r="M13" s="40">
        <f ca="1"/>
        <v>3.6617903930131035E-2</v>
      </c>
      <c r="N13" s="23">
        <f ca="1">_xll.qlYieldTSForwardRate(D$5,$D13,$D13,$D$1,"continuous","annual")</f>
        <v>3.8999999998524236E-2</v>
      </c>
      <c r="P13" s="3">
        <f t="shared" ca="1" si="0"/>
        <v>0</v>
      </c>
      <c r="Q13" s="8">
        <f t="shared" ca="1" si="1"/>
        <v>0</v>
      </c>
      <c r="R13" s="3">
        <f t="shared" ca="1" si="2"/>
        <v>-2.0933745640161483E-5</v>
      </c>
      <c r="S13" s="6">
        <f t="shared" ca="1" si="3"/>
        <v>1.7467248908331623E-5</v>
      </c>
      <c r="T13" s="5">
        <f t="shared" ca="1" si="4"/>
        <v>-1.0000000014757648E-3</v>
      </c>
      <c r="U13" s="5"/>
    </row>
    <row r="14" spans="1:21" x14ac:dyDescent="0.2">
      <c r="A14" s="18">
        <f ca="1">_xll.qlDayCounterYearFraction($D$1,$D$8,D14)</f>
        <v>1.5123287671232877</v>
      </c>
      <c r="B14" s="19">
        <f t="shared" ca="1" si="6"/>
        <v>0.25753424657534252</v>
      </c>
      <c r="C14" s="43" t="s">
        <v>22</v>
      </c>
      <c r="D14" s="20">
        <f ca="1">_xll.qlCalendarAdvance($D$2,$D$8,C14)</f>
        <v>42751</v>
      </c>
      <c r="E14" s="21">
        <f t="shared" ca="1" si="5"/>
        <v>0.94483736601576218</v>
      </c>
      <c r="F14" s="22">
        <f ca="1">SUMPRODUCT($B$9:B14,$G$9:G14)/A14</f>
        <v>3.751992753623188E-2</v>
      </c>
      <c r="G14" s="23">
        <v>4.2000000000000003E-2</v>
      </c>
      <c r="I14" s="18">
        <f ca="1"/>
        <v>4.2000000000000003E-2</v>
      </c>
      <c r="J14" s="19">
        <f ca="1"/>
        <v>1.5123287671232877</v>
      </c>
      <c r="K14" s="20">
        <f ca="1"/>
        <v>42751</v>
      </c>
      <c r="L14" s="21">
        <f ca="1"/>
        <v>0.94530342811993917</v>
      </c>
      <c r="M14" s="40">
        <f ca="1"/>
        <v>3.7193840579710175E-2</v>
      </c>
      <c r="N14" s="23">
        <f ca="1">_xll.qlYieldTSForwardRate(D$5,$D14,$D14,$D$1,"continuous","annual")</f>
        <v>4.0999999999943082E-2</v>
      </c>
      <c r="P14" s="3">
        <f t="shared" ca="1" si="0"/>
        <v>0</v>
      </c>
      <c r="Q14" s="8">
        <f t="shared" ca="1" si="1"/>
        <v>0</v>
      </c>
      <c r="R14" s="3">
        <f t="shared" ca="1" si="2"/>
        <v>4.6606210417698968E-4</v>
      </c>
      <c r="S14" s="6">
        <f t="shared" ca="1" si="3"/>
        <v>-3.2608695652170533E-4</v>
      </c>
      <c r="T14" s="5">
        <f t="shared" ca="1" si="4"/>
        <v>-1.0000000000569206E-3</v>
      </c>
      <c r="U14" s="5"/>
    </row>
    <row r="15" spans="1:21" x14ac:dyDescent="0.2">
      <c r="A15" s="18">
        <f ca="1">_xll.qlDayCounterYearFraction($D$1,$D$8,D15)</f>
        <v>1.7643835616438357</v>
      </c>
      <c r="B15" s="19">
        <f t="shared" ca="1" si="6"/>
        <v>0.25205479452054802</v>
      </c>
      <c r="C15" s="43" t="s">
        <v>23</v>
      </c>
      <c r="D15" s="20">
        <f ca="1">_xll.qlCalendarAdvance($D$2,$D$8,C15)</f>
        <v>42843</v>
      </c>
      <c r="E15" s="21">
        <f t="shared" ca="1" si="5"/>
        <v>0.9344166233068637</v>
      </c>
      <c r="F15" s="22">
        <f ca="1">SUMPRODUCT($B$9:B15,$G$9:G15)/A15</f>
        <v>3.8445652173913041E-2</v>
      </c>
      <c r="G15" s="23">
        <v>4.3999999999999997E-2</v>
      </c>
      <c r="I15" s="18">
        <f ca="1"/>
        <v>4.3999999999999997E-2</v>
      </c>
      <c r="J15" s="19">
        <f ca="1"/>
        <v>1.7643835616438357</v>
      </c>
      <c r="K15" s="20">
        <f ca="1"/>
        <v>42843</v>
      </c>
      <c r="L15" s="21">
        <f ca="1"/>
        <v>0.93534894469089835</v>
      </c>
      <c r="M15" s="40">
        <f ca="1"/>
        <v>3.7880434782608656E-2</v>
      </c>
      <c r="N15" s="23">
        <f ca="1">_xll.qlYieldTSForwardRate(D$5,$D15,$D15,$D$1,"continuous","annual")</f>
        <v>4.2999999998820135E-2</v>
      </c>
      <c r="P15" s="3">
        <f t="shared" ca="1" si="0"/>
        <v>0</v>
      </c>
      <c r="Q15" s="8">
        <f t="shared" ca="1" si="1"/>
        <v>0</v>
      </c>
      <c r="R15" s="3">
        <f t="shared" ca="1" si="2"/>
        <v>9.3232138403465115E-4</v>
      </c>
      <c r="S15" s="6">
        <f t="shared" ca="1" si="3"/>
        <v>-5.6521739130438453E-4</v>
      </c>
      <c r="T15" s="5">
        <f t="shared" ca="1" si="4"/>
        <v>-1.0000000011798627E-3</v>
      </c>
      <c r="U15" s="5"/>
    </row>
    <row r="16" spans="1:21" x14ac:dyDescent="0.2">
      <c r="A16" s="18">
        <f ca="1">_xll.qlDayCounterYearFraction($D$1,$D$8,D16)</f>
        <v>2.0027397260273974</v>
      </c>
      <c r="B16" s="19">
        <f t="shared" ca="1" si="6"/>
        <v>0.23835616438356166</v>
      </c>
      <c r="C16" s="43" t="s">
        <v>24</v>
      </c>
      <c r="D16" s="20">
        <f ca="1">_xll.qlCalendarAdvance($D$2,$D$8,C16)</f>
        <v>42930</v>
      </c>
      <c r="E16" s="21">
        <f t="shared" ca="1" si="5"/>
        <v>0.92422728303808033</v>
      </c>
      <c r="F16" s="22">
        <f ca="1">SUMPRODUCT($B$9:B16,$G$9:G16)/A16</f>
        <v>3.9344733242134063E-2</v>
      </c>
      <c r="G16" s="23">
        <v>4.5999999999999999E-2</v>
      </c>
      <c r="I16" s="18">
        <f ca="1"/>
        <v>4.5999999999999999E-2</v>
      </c>
      <c r="J16" s="19">
        <f ca="1"/>
        <v>2.0027397260273974</v>
      </c>
      <c r="K16" s="20">
        <f ca="1"/>
        <v>42930</v>
      </c>
      <c r="L16" s="21">
        <f ca="1"/>
        <v>0.92559057321134242</v>
      </c>
      <c r="M16" s="40">
        <f ca="1"/>
        <v>3.8608755129958913E-2</v>
      </c>
      <c r="N16" s="23">
        <f ca="1">_xll.qlYieldTSForwardRate(D$5,$D16,$D16,$D$1,"continuous","annual")</f>
        <v>4.4999999999596196E-2</v>
      </c>
      <c r="P16" s="3">
        <f t="shared" ca="1" si="0"/>
        <v>0</v>
      </c>
      <c r="Q16" s="8">
        <f t="shared" ca="1" si="1"/>
        <v>0</v>
      </c>
      <c r="R16" s="3">
        <f t="shared" ca="1" si="2"/>
        <v>1.3632901732620883E-3</v>
      </c>
      <c r="S16" s="6">
        <f t="shared" ca="1" si="3"/>
        <v>-7.3597811217514936E-4</v>
      </c>
      <c r="T16" s="5">
        <f t="shared" ca="1" si="4"/>
        <v>-1.0000000004038029E-3</v>
      </c>
      <c r="U16" s="5"/>
    </row>
    <row r="17" spans="1:21" x14ac:dyDescent="0.2">
      <c r="A17" s="18">
        <f ca="1">_xll.qlDayCounterYearFraction($D$1,$D$8,D17)</f>
        <v>3.0082191780821916</v>
      </c>
      <c r="B17" s="19">
        <f t="shared" ca="1" si="6"/>
        <v>1.0054794520547943</v>
      </c>
      <c r="C17" s="43" t="s">
        <v>25</v>
      </c>
      <c r="D17" s="20">
        <f ca="1">_xll.qlCalendarAdvance($D$2,$D$8,C17)</f>
        <v>43297</v>
      </c>
      <c r="E17" s="21">
        <f t="shared" ca="1" si="5"/>
        <v>0.88068058887970391</v>
      </c>
      <c r="F17" s="22">
        <f ca="1">SUMPRODUCT($B$9:B17,$G$9:G17)/A17</f>
        <v>4.2237704918032783E-2</v>
      </c>
      <c r="G17" s="23">
        <v>4.8000000000000001E-2</v>
      </c>
      <c r="I17" s="18">
        <f ca="1"/>
        <v>4.8000000000000001E-2</v>
      </c>
      <c r="J17" s="19">
        <f ca="1"/>
        <v>3.0082191780821916</v>
      </c>
      <c r="K17" s="20">
        <f ca="1"/>
        <v>43297</v>
      </c>
      <c r="L17" s="21">
        <f ca="1"/>
        <v>0.88375505445077895</v>
      </c>
      <c r="M17" s="40">
        <f ca="1"/>
        <v>4.1079234972677584E-2</v>
      </c>
      <c r="N17" s="23">
        <f ca="1">_xll.qlYieldTSForwardRate(D$5,$D17,$D17,$D$1,"continuous","annual")</f>
        <v>4.7000000000050744E-2</v>
      </c>
      <c r="P17" s="3">
        <f t="shared" ca="1" si="0"/>
        <v>0</v>
      </c>
      <c r="Q17" s="8">
        <f t="shared" ca="1" si="1"/>
        <v>0</v>
      </c>
      <c r="R17" s="3">
        <f t="shared" ca="1" si="2"/>
        <v>3.0744655710750468E-3</v>
      </c>
      <c r="S17" s="6">
        <f t="shared" ca="1" si="3"/>
        <v>-1.1584699453551991E-3</v>
      </c>
      <c r="T17" s="5">
        <f t="shared" ca="1" si="4"/>
        <v>-9.9999999994925676E-4</v>
      </c>
      <c r="U17" s="5"/>
    </row>
    <row r="18" spans="1:21" x14ac:dyDescent="0.2">
      <c r="A18" s="18">
        <f ca="1">_xll.qlDayCounterYearFraction($D$1,$D$8,D18)</f>
        <v>4.0054794520547947</v>
      </c>
      <c r="B18" s="19">
        <f t="shared" ca="1" si="6"/>
        <v>0.99726027397260308</v>
      </c>
      <c r="C18" s="43" t="s">
        <v>26</v>
      </c>
      <c r="D18" s="20">
        <f ca="1">_xll.qlCalendarAdvance($D$2,$D$8,C18)</f>
        <v>43661</v>
      </c>
      <c r="E18" s="21">
        <f t="shared" ca="1" si="5"/>
        <v>0.83868002038649847</v>
      </c>
      <c r="F18" s="22">
        <f ca="1">SUMPRODUCT($B$9:B18,$G$9:G18)/A18</f>
        <v>4.3921340629274962E-2</v>
      </c>
      <c r="G18" s="23">
        <v>4.9000000000000002E-2</v>
      </c>
      <c r="I18" s="18">
        <f ca="1"/>
        <v>4.9000000000000002E-2</v>
      </c>
      <c r="J18" s="19">
        <f ca="1"/>
        <v>4.0054794520547947</v>
      </c>
      <c r="K18" s="20">
        <f ca="1"/>
        <v>43661</v>
      </c>
      <c r="L18" s="21">
        <f ca="1"/>
        <v>0.84244758224046434</v>
      </c>
      <c r="M18" s="40">
        <f ca="1"/>
        <v>4.2802325581395351E-2</v>
      </c>
      <c r="N18" s="23">
        <f ca="1">_xll.qlYieldTSForwardRate(D$5,$D18,$D18,$D$1,"continuous","annual")</f>
        <v>4.8500000000458177E-2</v>
      </c>
      <c r="P18" s="3">
        <f t="shared" ca="1" si="0"/>
        <v>0</v>
      </c>
      <c r="Q18" s="8">
        <f t="shared" ca="1" si="1"/>
        <v>0</v>
      </c>
      <c r="R18" s="3">
        <f t="shared" ca="1" si="2"/>
        <v>3.7675618539658728E-3</v>
      </c>
      <c r="S18" s="6">
        <f t="shared" ca="1" si="3"/>
        <v>-1.119015047879611E-3</v>
      </c>
      <c r="T18" s="5">
        <f t="shared" ca="1" si="4"/>
        <v>-4.9999999954182528E-4</v>
      </c>
      <c r="U18" s="5"/>
    </row>
    <row r="19" spans="1:21" x14ac:dyDescent="0.2">
      <c r="A19" s="18">
        <f ca="1">_xll.qlDayCounterYearFraction($D$1,$D$8,D19)</f>
        <v>5.0054794520547947</v>
      </c>
      <c r="B19" s="19">
        <f t="shared" ca="1" si="6"/>
        <v>1</v>
      </c>
      <c r="C19" s="43" t="s">
        <v>27</v>
      </c>
      <c r="D19" s="20">
        <f ca="1">_xll.qlCalendarAdvance($D$2,$D$8,C19)</f>
        <v>44026</v>
      </c>
      <c r="E19" s="21">
        <f t="shared" ca="1" si="5"/>
        <v>0.79817610142782391</v>
      </c>
      <c r="F19" s="22">
        <f ca="1">SUMPRODUCT($B$9:B19,$G$9:G19)/A19</f>
        <v>4.5035851122058011E-2</v>
      </c>
      <c r="G19" s="23">
        <v>4.9500000000000002E-2</v>
      </c>
      <c r="I19" s="18">
        <f ca="1"/>
        <v>4.9500000000000002E-2</v>
      </c>
      <c r="J19" s="19">
        <f ca="1"/>
        <v>5.0054794520547947</v>
      </c>
      <c r="K19" s="20">
        <f ca="1"/>
        <v>44026</v>
      </c>
      <c r="L19" s="21">
        <f ca="1"/>
        <v>0.8021626905694994</v>
      </c>
      <c r="M19" s="40">
        <f ca="1"/>
        <v>4.4040503557744921E-2</v>
      </c>
      <c r="N19" s="23">
        <f ca="1">_xll.qlYieldTSForwardRate(D$5,$D19,$D19,$D$1,"continuous","annual")</f>
        <v>4.925000000066343E-2</v>
      </c>
      <c r="P19" s="3">
        <f t="shared" ca="1" si="0"/>
        <v>0</v>
      </c>
      <c r="Q19" s="8">
        <f t="shared" ca="1" si="1"/>
        <v>0</v>
      </c>
      <c r="R19" s="3">
        <f t="shared" ca="1" si="2"/>
        <v>3.9865891416754895E-3</v>
      </c>
      <c r="S19" s="6">
        <f t="shared" ca="1" si="3"/>
        <v>-9.9534756431308991E-4</v>
      </c>
      <c r="T19" s="5">
        <f t="shared" ca="1" si="4"/>
        <v>-2.4999999933657258E-4</v>
      </c>
      <c r="U19" s="5"/>
    </row>
    <row r="20" spans="1:21" x14ac:dyDescent="0.2">
      <c r="A20" s="18">
        <f ca="1">_xll.qlDayCounterYearFraction($D$1,$D$8,D20)</f>
        <v>6.0054794520547947</v>
      </c>
      <c r="B20" s="19">
        <f t="shared" ca="1" si="6"/>
        <v>1</v>
      </c>
      <c r="C20" s="43" t="s">
        <v>28</v>
      </c>
      <c r="D20" s="20">
        <f ca="1">_xll.qlCalendarAdvance($D$2,$D$8,C20)</f>
        <v>44391</v>
      </c>
      <c r="E20" s="21">
        <f t="shared" ca="1" si="5"/>
        <v>0.75940045851611904</v>
      </c>
      <c r="F20" s="22">
        <f ca="1">SUMPRODUCT($B$9:B20,$G$9:G20)/A20</f>
        <v>4.5829151459854015E-2</v>
      </c>
      <c r="G20" s="23">
        <v>4.9799999999999997E-2</v>
      </c>
      <c r="I20" s="18">
        <f ca="1"/>
        <v>4.9799999999999997E-2</v>
      </c>
      <c r="J20" s="19">
        <f ca="1"/>
        <v>6.0054794520547947</v>
      </c>
      <c r="K20" s="20">
        <f ca="1"/>
        <v>44391</v>
      </c>
      <c r="L20" s="21">
        <f ca="1"/>
        <v>0.76342237027961535</v>
      </c>
      <c r="M20" s="40">
        <f ca="1"/>
        <v>4.4949589416058401E-2</v>
      </c>
      <c r="N20" s="23">
        <f ca="1">_xll.qlYieldTSForwardRate(D$5,$D20,$D20,$D$1,"continuous","annual")</f>
        <v>4.9650000000865425E-2</v>
      </c>
      <c r="P20" s="3">
        <f t="shared" ca="1" si="0"/>
        <v>0</v>
      </c>
      <c r="Q20" s="8">
        <f t="shared" ca="1" si="1"/>
        <v>0</v>
      </c>
      <c r="R20" s="3">
        <f t="shared" ca="1" si="2"/>
        <v>4.0219117634963109E-3</v>
      </c>
      <c r="S20" s="6">
        <f t="shared" ca="1" si="3"/>
        <v>-8.7956204379561337E-4</v>
      </c>
      <c r="T20" s="5">
        <f t="shared" ca="1" si="4"/>
        <v>-1.4999999913457157E-4</v>
      </c>
      <c r="U20" s="5"/>
    </row>
    <row r="21" spans="1:21" x14ac:dyDescent="0.2">
      <c r="A21" s="18">
        <f ca="1">_xll.qlDayCounterYearFraction($D$1,$D$8,D21)</f>
        <v>7.0054794520547947</v>
      </c>
      <c r="B21" s="19">
        <f t="shared" ca="1" si="6"/>
        <v>1</v>
      </c>
      <c r="C21" s="43" t="s">
        <v>29</v>
      </c>
      <c r="D21" s="20">
        <f ca="1">_xll.qlCalendarAdvance($D$2,$D$8,C21)</f>
        <v>44756</v>
      </c>
      <c r="E21" s="21">
        <f t="shared" ca="1" si="5"/>
        <v>0.7224363011379189</v>
      </c>
      <c r="F21" s="22">
        <f ca="1">SUMPRODUCT($B$9:B21,$G$9:G21)/A21</f>
        <v>4.6410246382479467E-2</v>
      </c>
      <c r="G21" s="23">
        <v>4.99E-2</v>
      </c>
      <c r="I21" s="18">
        <f ca="1"/>
        <v>4.99E-2</v>
      </c>
      <c r="J21" s="19">
        <f ca="1"/>
        <v>7.0054794520547947</v>
      </c>
      <c r="K21" s="20">
        <f ca="1"/>
        <v>44756</v>
      </c>
      <c r="L21" s="21">
        <f ca="1"/>
        <v>0.72633507442120071</v>
      </c>
      <c r="M21" s="40">
        <f ca="1"/>
        <v>4.5641963238169714E-2</v>
      </c>
      <c r="N21" s="23">
        <f ca="1">_xll.qlYieldTSForwardRate(D$5,$D21,$D21,$D$1,"continuous","annual")</f>
        <v>4.9849999999407292E-2</v>
      </c>
      <c r="P21" s="3">
        <f t="shared" ca="1" si="0"/>
        <v>0</v>
      </c>
      <c r="Q21" s="8">
        <f t="shared" ca="1" si="1"/>
        <v>0</v>
      </c>
      <c r="R21" s="3">
        <f t="shared" ca="1" si="2"/>
        <v>3.8987732832818089E-3</v>
      </c>
      <c r="S21" s="6">
        <f t="shared" ca="1" si="3"/>
        <v>-7.682831443097532E-4</v>
      </c>
      <c r="T21" s="5">
        <f t="shared" ca="1" si="4"/>
        <v>-5.0000000592707872E-5</v>
      </c>
      <c r="U21" s="5"/>
    </row>
    <row r="22" spans="1:21" x14ac:dyDescent="0.2">
      <c r="A22" s="18">
        <f ca="1">_xll.qlDayCounterYearFraction($D$1,$D$8,D22)</f>
        <v>8.0054794520547947</v>
      </c>
      <c r="B22" s="19">
        <f t="shared" ca="1" si="6"/>
        <v>1</v>
      </c>
      <c r="C22" s="43" t="s">
        <v>30</v>
      </c>
      <c r="D22" s="20">
        <f ca="1">_xll.qlCalendarAdvance($D$2,$D$8,C22)</f>
        <v>45121</v>
      </c>
      <c r="E22" s="21">
        <f t="shared" ca="1" si="5"/>
        <v>0.68720266696984711</v>
      </c>
      <c r="F22" s="22">
        <f ca="1">SUMPRODUCT($B$9:B22,$G$9:G22)/A22</f>
        <v>4.6858658453114301E-2</v>
      </c>
      <c r="G22" s="23">
        <v>0.05</v>
      </c>
      <c r="I22" s="18">
        <f ca="1"/>
        <v>0.05</v>
      </c>
      <c r="J22" s="19">
        <f ca="1"/>
        <v>8.0054794520547947</v>
      </c>
      <c r="K22" s="20">
        <f ca="1"/>
        <v>45121</v>
      </c>
      <c r="L22" s="21">
        <f ca="1"/>
        <v>0.69098038942051732</v>
      </c>
      <c r="M22" s="40">
        <f ca="1"/>
        <v>4.6173853524982877E-2</v>
      </c>
      <c r="N22" s="23">
        <f ca="1">_xll.qlYieldTSForwardRate(D$5,$D22,$D22,$D$1,"continuous","annual")</f>
        <v>4.994999999939867E-2</v>
      </c>
      <c r="P22" s="3">
        <f t="shared" ca="1" si="0"/>
        <v>0</v>
      </c>
      <c r="Q22" s="8">
        <f t="shared" ca="1" si="1"/>
        <v>0</v>
      </c>
      <c r="R22" s="3">
        <f t="shared" ca="1" si="2"/>
        <v>3.7777224506702067E-3</v>
      </c>
      <c r="S22" s="6">
        <f t="shared" ca="1" si="3"/>
        <v>-6.8480492813142307E-4</v>
      </c>
      <c r="T22" s="5">
        <f t="shared" ca="1" si="4"/>
        <v>-5.0000000601332917E-5</v>
      </c>
      <c r="U22" s="5"/>
    </row>
    <row r="23" spans="1:21" x14ac:dyDescent="0.2">
      <c r="A23" s="18">
        <f ca="1">_xll.qlDayCounterYearFraction($D$1,$D$8,D23)</f>
        <v>9.0109589041095894</v>
      </c>
      <c r="B23" s="19">
        <f t="shared" ca="1" si="6"/>
        <v>1.0054794520547947</v>
      </c>
      <c r="C23" s="43" t="s">
        <v>31</v>
      </c>
      <c r="D23" s="20">
        <f ca="1">_xll.qlCalendarAdvance($D$2,$D$8,C23)</f>
        <v>45488</v>
      </c>
      <c r="E23" s="21">
        <f t="shared" ca="1" si="5"/>
        <v>0.65350832951040527</v>
      </c>
      <c r="F23" s="22">
        <f ca="1">SUMPRODUCT($B$9:B23,$G$9:G23)/A23</f>
        <v>4.72091821222256E-2</v>
      </c>
      <c r="G23" s="23">
        <v>0.05</v>
      </c>
      <c r="I23" s="18">
        <f ca="1"/>
        <v>0.05</v>
      </c>
      <c r="J23" s="19">
        <f ca="1"/>
        <v>9.0109589041095894</v>
      </c>
      <c r="K23" s="20">
        <f ca="1"/>
        <v>45488</v>
      </c>
      <c r="L23" s="21">
        <f ca="1"/>
        <v>0.65710082588265772</v>
      </c>
      <c r="M23" s="40">
        <f ca="1"/>
        <v>4.6600790513834006E-2</v>
      </c>
      <c r="N23" s="23">
        <f ca="1">_xll.qlYieldTSForwardRate(D$5,$D23,$D23,$D$1,"continuous","annual")</f>
        <v>5.0000000000129566E-2</v>
      </c>
      <c r="P23" s="3">
        <f t="shared" ca="1" si="0"/>
        <v>0</v>
      </c>
      <c r="Q23" s="8">
        <f t="shared" ca="1" si="1"/>
        <v>0</v>
      </c>
      <c r="R23" s="3">
        <f t="shared" ca="1" si="2"/>
        <v>3.5924963722524517E-3</v>
      </c>
      <c r="S23" s="6">
        <f t="shared" ca="1" si="3"/>
        <v>-6.0839160839159384E-4</v>
      </c>
      <c r="T23" s="5">
        <f t="shared" ca="1" si="4"/>
        <v>1.2956302697375577E-13</v>
      </c>
      <c r="U23" s="5"/>
    </row>
    <row r="24" spans="1:21" x14ac:dyDescent="0.2">
      <c r="A24" s="18">
        <f ca="1">_xll.qlDayCounterYearFraction($D$1,$D$8,D24)</f>
        <v>10.008219178082191</v>
      </c>
      <c r="B24" s="19">
        <f t="shared" ca="1" si="6"/>
        <v>0.99726027397260175</v>
      </c>
      <c r="C24" s="43" t="s">
        <v>32</v>
      </c>
      <c r="D24" s="20">
        <f ca="1">_xll.qlCalendarAdvance($D$2,$D$8,C24)</f>
        <v>45852</v>
      </c>
      <c r="E24" s="21">
        <f t="shared" ca="1" si="5"/>
        <v>0.62172151368413509</v>
      </c>
      <c r="F24" s="22">
        <f ca="1">SUMPRODUCT($B$9:B24,$G$9:G24)/A24</f>
        <v>4.7487270736381058E-2</v>
      </c>
      <c r="G24" s="23">
        <v>0.05</v>
      </c>
      <c r="I24" s="18">
        <f ca="1"/>
        <v>0.05</v>
      </c>
      <c r="J24" s="19">
        <f ca="1"/>
        <v>10.008219178082191</v>
      </c>
      <c r="K24" s="20">
        <f ca="1"/>
        <v>45852</v>
      </c>
      <c r="L24" s="21">
        <f ca="1"/>
        <v>0.62513927009457726</v>
      </c>
      <c r="M24" s="40">
        <f ca="1"/>
        <v>4.6939501779359433E-2</v>
      </c>
      <c r="N24" s="23">
        <f ca="1">_xll.qlYieldTSForwardRate(D$5,$D24,$D24,$D$1,"continuous","annual")</f>
        <v>5.0000000000129566E-2</v>
      </c>
      <c r="P24" s="3">
        <f t="shared" ca="1" si="0"/>
        <v>0</v>
      </c>
      <c r="Q24" s="8">
        <f t="shared" ca="1" si="1"/>
        <v>0</v>
      </c>
      <c r="R24" s="3">
        <f t="shared" ca="1" si="2"/>
        <v>3.4177564104421743E-3</v>
      </c>
      <c r="S24" s="6">
        <f t="shared" ca="1" si="3"/>
        <v>-5.477689570216257E-4</v>
      </c>
      <c r="T24" s="5">
        <f t="shared" ca="1" si="4"/>
        <v>1.2956302697375577E-13</v>
      </c>
      <c r="U24" s="5"/>
    </row>
    <row r="25" spans="1:21" x14ac:dyDescent="0.2">
      <c r="A25" s="18">
        <f ca="1">_xll.qlDayCounterYearFraction($D$1,$D$8,D25)</f>
        <v>15.013698630136986</v>
      </c>
      <c r="B25" s="19">
        <f t="shared" ca="1" si="6"/>
        <v>5.0054794520547947</v>
      </c>
      <c r="C25" s="43" t="s">
        <v>33</v>
      </c>
      <c r="D25" s="20">
        <f ca="1">_xll.qlCalendarAdvance($D$2,$D$8,C25)</f>
        <v>47679</v>
      </c>
      <c r="E25" s="21">
        <f t="shared" ca="1" si="5"/>
        <v>0.48406456311245233</v>
      </c>
      <c r="F25" s="22">
        <f ca="1">SUMPRODUCT($B$9:B25,$G$9:G25)/A25</f>
        <v>4.8325E-2</v>
      </c>
      <c r="G25" s="23">
        <v>0.05</v>
      </c>
      <c r="I25" s="18">
        <f ca="1"/>
        <v>0.05</v>
      </c>
      <c r="J25" s="19">
        <f ca="1"/>
        <v>15.013698630136986</v>
      </c>
      <c r="K25" s="20">
        <f ca="1"/>
        <v>47679</v>
      </c>
      <c r="L25" s="21">
        <f ca="1"/>
        <v>0.48672558533418941</v>
      </c>
      <c r="M25" s="40">
        <f ca="1"/>
        <v>4.7959854014598555E-2</v>
      </c>
      <c r="N25" s="23">
        <f ca="1">_xll.qlYieldTSForwardRate(D$5,$D25,$D25,$D$1,"continuous","annual")</f>
        <v>5.0000000000129566E-2</v>
      </c>
      <c r="P25" s="3">
        <f t="shared" ca="1" si="0"/>
        <v>0</v>
      </c>
      <c r="Q25" s="8">
        <f t="shared" ca="1" si="1"/>
        <v>0</v>
      </c>
      <c r="R25" s="3">
        <f t="shared" ca="1" si="2"/>
        <v>2.661022221737086E-3</v>
      </c>
      <c r="S25" s="6">
        <f t="shared" ca="1" si="3"/>
        <v>-3.6514598540144522E-4</v>
      </c>
      <c r="T25" s="5">
        <f t="shared" ca="1" si="4"/>
        <v>1.2956302697375577E-13</v>
      </c>
      <c r="U25" s="5"/>
    </row>
    <row r="26" spans="1:21" x14ac:dyDescent="0.2">
      <c r="A26" s="18">
        <f ca="1">_xll.qlDayCounterYearFraction($D$1,$D$8,D26)</f>
        <v>20.019178082191782</v>
      </c>
      <c r="B26" s="19">
        <f t="shared" ca="1" si="6"/>
        <v>5.0054794520547965</v>
      </c>
      <c r="C26" s="43" t="s">
        <v>34</v>
      </c>
      <c r="D26" s="20">
        <f ca="1">_xll.qlCalendarAdvance($D$2,$D$8,C26)</f>
        <v>49506</v>
      </c>
      <c r="E26" s="21">
        <f t="shared" ca="1" si="5"/>
        <v>0.39623168947563081</v>
      </c>
      <c r="F26" s="22">
        <f ca="1">SUMPRODUCT($B$9:B26,$G$9:G26)/A26</f>
        <v>4.6243465170384558E-2</v>
      </c>
      <c r="G26" s="23">
        <v>0.04</v>
      </c>
      <c r="I26" s="18">
        <f ca="1"/>
        <v>0.04</v>
      </c>
      <c r="J26" s="19">
        <f ca="1"/>
        <v>20.019178082191782</v>
      </c>
      <c r="K26" s="20">
        <f ca="1"/>
        <v>49506</v>
      </c>
      <c r="L26" s="21">
        <f ca="1"/>
        <v>0.37895842854835921</v>
      </c>
      <c r="M26" s="40">
        <f ca="1"/>
        <v>4.8469960312029568E-2</v>
      </c>
      <c r="N26" s="23">
        <f ca="1">_xll.qlYieldTSForwardRate(D$5,$D26,$D26,$D$1,"continuous","annual")</f>
        <v>4.4999999999596196E-2</v>
      </c>
      <c r="P26" s="3">
        <f t="shared" ca="1" si="0"/>
        <v>0</v>
      </c>
      <c r="Q26" s="8">
        <f t="shared" ca="1" si="1"/>
        <v>0</v>
      </c>
      <c r="R26" s="3">
        <f t="shared" ca="1" si="2"/>
        <v>-1.7273260927271605E-2</v>
      </c>
      <c r="S26" s="6">
        <f t="shared" ca="1" si="3"/>
        <v>2.2264951416450102E-3</v>
      </c>
      <c r="T26" s="5">
        <f t="shared" ca="1" si="4"/>
        <v>4.9999999995961955E-3</v>
      </c>
      <c r="U26" s="5"/>
    </row>
    <row r="27" spans="1:21" x14ac:dyDescent="0.2">
      <c r="A27" s="18">
        <f ca="1">_xll.qlDayCounterYearFraction($D$1,$D$8,D27)</f>
        <v>25.024657534246575</v>
      </c>
      <c r="B27" s="19">
        <f t="shared" ca="1" si="6"/>
        <v>5.0054794520547929</v>
      </c>
      <c r="C27" s="43" t="s">
        <v>35</v>
      </c>
      <c r="D27" s="20">
        <f ca="1">_xll.qlCalendarAdvance($D$2,$D$8,C27)</f>
        <v>51333</v>
      </c>
      <c r="E27" s="21">
        <f t="shared" ca="1" si="5"/>
        <v>0.3409837189185978</v>
      </c>
      <c r="F27" s="22">
        <f ca="1">SUMPRODUCT($B$9:B27,$G$9:G27)/A27</f>
        <v>4.2994416465951389E-2</v>
      </c>
      <c r="G27" s="23">
        <v>0.03</v>
      </c>
      <c r="I27" s="18">
        <f ca="1"/>
        <v>0.03</v>
      </c>
      <c r="J27" s="19">
        <f ca="1"/>
        <v>25.024657534246575</v>
      </c>
      <c r="K27" s="20">
        <f ca="1"/>
        <v>51333</v>
      </c>
      <c r="L27" s="21">
        <f ca="1"/>
        <v>0.31019692377246816</v>
      </c>
      <c r="M27" s="40">
        <f ca="1"/>
        <v>4.6775782789577412E-2</v>
      </c>
      <c r="N27" s="23">
        <f ca="1">_xll.qlYieldTSForwardRate(D$5,$D27,$D27,$D$1,"continuous","annual")</f>
        <v>3.49999999991637E-2</v>
      </c>
      <c r="P27" s="3">
        <f t="shared" ca="1" si="0"/>
        <v>0</v>
      </c>
      <c r="Q27" s="8">
        <f t="shared" ca="1" si="1"/>
        <v>0</v>
      </c>
      <c r="R27" s="3">
        <f t="shared" ca="1" si="2"/>
        <v>-3.0786795146129642E-2</v>
      </c>
      <c r="S27" s="6">
        <f t="shared" ca="1" si="3"/>
        <v>3.7813663236260231E-3</v>
      </c>
      <c r="T27" s="5">
        <f t="shared" ca="1" si="4"/>
        <v>4.9999999991637012E-3</v>
      </c>
      <c r="U27" s="5"/>
    </row>
    <row r="28" spans="1:21" x14ac:dyDescent="0.2">
      <c r="A28" s="24">
        <f ca="1">_xll.qlDayCounterYearFraction($D$1,$D$8,D28)</f>
        <v>30.021917808219179</v>
      </c>
      <c r="B28" s="25">
        <f t="shared" ca="1" si="6"/>
        <v>4.9972602739726035</v>
      </c>
      <c r="C28" s="43" t="s">
        <v>36</v>
      </c>
      <c r="D28" s="26">
        <f ca="1">_xll.qlCalendarAdvance($D$2,$D$8,C28)</f>
        <v>53157</v>
      </c>
      <c r="E28" s="27">
        <f t="shared" ca="1" si="5"/>
        <v>0.30855173429975313</v>
      </c>
      <c r="F28" s="28">
        <f ca="1">SUMPRODUCT($B$9:B28,$G$9:G28)/A28</f>
        <v>3.9166910020076655E-2</v>
      </c>
      <c r="G28" s="29">
        <v>0.02</v>
      </c>
      <c r="I28" s="24">
        <f ca="1"/>
        <v>0.02</v>
      </c>
      <c r="J28" s="25">
        <f ca="1"/>
        <v>30.021917808219179</v>
      </c>
      <c r="K28" s="26">
        <f ca="1"/>
        <v>53157</v>
      </c>
      <c r="L28" s="27">
        <f ca="1"/>
        <v>0.26701091175394498</v>
      </c>
      <c r="M28" s="41">
        <f ca="1"/>
        <v>4.3983391129768221E-2</v>
      </c>
      <c r="N28" s="29">
        <f ca="1">_xll.qlYieldTSForwardRate(D$5,$D28,$D28,$D$1,"continuous","annual")</f>
        <v>2.4999999999585212E-2</v>
      </c>
      <c r="P28" s="3">
        <f t="shared" ca="1" si="0"/>
        <v>0</v>
      </c>
      <c r="Q28" s="8">
        <f t="shared" ca="1" si="1"/>
        <v>0</v>
      </c>
      <c r="R28" s="3">
        <f t="shared" ca="1" si="2"/>
        <v>-4.1540822545808154E-2</v>
      </c>
      <c r="S28" s="6">
        <f t="shared" ca="1" si="3"/>
        <v>4.8164811096915658E-3</v>
      </c>
      <c r="T28" s="5">
        <f t="shared" ca="1" si="4"/>
        <v>4.9999999995852112E-3</v>
      </c>
      <c r="U28" s="5"/>
    </row>
    <row r="29" spans="1:21" x14ac:dyDescent="0.2">
      <c r="A29" s="30"/>
      <c r="B29" s="31"/>
      <c r="C29" s="44" t="s">
        <v>37</v>
      </c>
      <c r="D29" s="14">
        <f ca="1">_xll.qlCalendarAdvance($D$2,$D$8,C29)</f>
        <v>53524</v>
      </c>
      <c r="E29" s="31"/>
      <c r="F29" s="31"/>
      <c r="G29" s="32"/>
      <c r="I29" s="30"/>
      <c r="J29" s="31"/>
      <c r="K29" s="31"/>
      <c r="L29" s="15">
        <f ca="1">_xll.qlYieldTSDiscount(D$5,$D29,TRUE)</f>
        <v>0.2616950609773474</v>
      </c>
      <c r="M29" s="39">
        <f ca="1">_xll.qlYieldTSZeroRate(D$5,$D29,$D$1,,,TRUE)</f>
        <v>4.3206181015452545E-2</v>
      </c>
      <c r="N29" s="17">
        <f ca="1">_xll.qlYieldTSForwardRate(D$5,$D29,$D29,$D$1,"continuous","annual",TRUE)</f>
        <v>1.9999999997898903E-2</v>
      </c>
      <c r="R29" s="4"/>
      <c r="S29" s="6"/>
      <c r="T29" s="5"/>
      <c r="U29" s="5"/>
    </row>
    <row r="30" spans="1:21" x14ac:dyDescent="0.2">
      <c r="A30" s="33"/>
      <c r="B30" s="34"/>
      <c r="C30" s="45" t="s">
        <v>41</v>
      </c>
      <c r="D30" s="20">
        <f ca="1">_xll.qlCalendarAdvance($D$2,$D$8,C30)</f>
        <v>54983</v>
      </c>
      <c r="E30" s="34"/>
      <c r="F30" s="34"/>
      <c r="G30" s="35"/>
      <c r="I30" s="33"/>
      <c r="J30" s="34"/>
      <c r="K30" s="34"/>
      <c r="L30" s="21">
        <f ca="1">_xll.qlYieldTSDiscount(D$5,$D30,TRUE)</f>
        <v>0.24158822590517492</v>
      </c>
      <c r="M30" s="40">
        <f ca="1">_xll.qlYieldTSZeroRate(D$5,$D30,$D$1,,,TRUE)</f>
        <v>4.0557728410513152E-2</v>
      </c>
      <c r="N30" s="23">
        <f ca="1">_xll.qlYieldTSForwardRate(D$5,$D30,$D30,$D$1,"continuous","annual",TRUE)</f>
        <v>2.0000000002339789E-2</v>
      </c>
      <c r="R30" s="4"/>
      <c r="S30" s="6"/>
      <c r="T30" s="5"/>
      <c r="U30" s="5"/>
    </row>
    <row r="31" spans="1:21" x14ac:dyDescent="0.2">
      <c r="A31" s="33"/>
      <c r="B31" s="34"/>
      <c r="C31" s="45" t="s">
        <v>38</v>
      </c>
      <c r="D31" s="20">
        <f ca="1">_xll.qlCalendarAdvance($D$2,$D$8,C31)</f>
        <v>56809</v>
      </c>
      <c r="E31" s="34"/>
      <c r="F31" s="34"/>
      <c r="G31" s="35"/>
      <c r="I31" s="33"/>
      <c r="J31" s="34"/>
      <c r="K31" s="34"/>
      <c r="L31" s="21">
        <f ca="1">_xll.qlYieldTSDiscount(D$5,$D31,TRUE)</f>
        <v>0.21858608890783471</v>
      </c>
      <c r="M31" s="40">
        <f ca="1">_xll.qlYieldTSZeroRate(D$5,$D31,$D$1,,,TRUE)</f>
        <v>3.7988364134154691E-2</v>
      </c>
      <c r="N31" s="23">
        <f ca="1">_xll.qlYieldTSForwardRate(D$5,$D31,$D31,$D$1,"continuous","annual",TRUE)</f>
        <v>1.9999999997898903E-2</v>
      </c>
      <c r="R31" s="4"/>
      <c r="S31" s="6"/>
      <c r="T31" s="5"/>
      <c r="U31" s="5"/>
    </row>
    <row r="32" spans="1:21" x14ac:dyDescent="0.2">
      <c r="A32" s="33"/>
      <c r="B32" s="34"/>
      <c r="C32" s="45" t="s">
        <v>39</v>
      </c>
      <c r="D32" s="20">
        <f ca="1">_xll.qlCalendarAdvance($D$2,$D$8,C32)</f>
        <v>60462</v>
      </c>
      <c r="E32" s="34"/>
      <c r="F32" s="34"/>
      <c r="G32" s="35"/>
      <c r="I32" s="33"/>
      <c r="J32" s="34"/>
      <c r="K32" s="34"/>
      <c r="L32" s="21">
        <f ca="1">_xll.qlYieldTSDiscount(D$5,$D32,TRUE)</f>
        <v>0.17893373700119347</v>
      </c>
      <c r="M32" s="40">
        <f ca="1">_xll.qlYieldTSZeroRate(D$5,$D32,$D$1,,,TRUE)</f>
        <v>3.4390297322455243E-2</v>
      </c>
      <c r="N32" s="23">
        <f ca="1">_xll.qlYieldTSForwardRate(D$5,$D32,$D32,$D$1,"continuous","annual",TRUE)</f>
        <v>2.0000000000119346E-2</v>
      </c>
      <c r="R32" s="4"/>
      <c r="S32" s="6"/>
      <c r="T32" s="5"/>
      <c r="U32" s="5"/>
    </row>
    <row r="33" spans="1:21" x14ac:dyDescent="0.2">
      <c r="A33" s="36"/>
      <c r="B33" s="37"/>
      <c r="C33" s="46" t="s">
        <v>40</v>
      </c>
      <c r="D33" s="26">
        <f ca="1">_xll.qlCalendarAdvance($D$2,$D$8,C33)</f>
        <v>64115</v>
      </c>
      <c r="E33" s="37"/>
      <c r="F33" s="37"/>
      <c r="G33" s="38"/>
      <c r="I33" s="36"/>
      <c r="J33" s="37"/>
      <c r="K33" s="37"/>
      <c r="L33" s="27">
        <f ca="1">_xll.qlYieldTSDiscount(D$5,$D33,TRUE)</f>
        <v>0.14647447327131666</v>
      </c>
      <c r="M33" s="41">
        <f ca="1">_xll.qlYieldTSZeroRate(D$5,$D33,$D$1,,,TRUE)</f>
        <v>3.1991695564884112E-2</v>
      </c>
      <c r="N33" s="29">
        <f ca="1">_xll.qlYieldTSForwardRate(D$5,$D33,$D33,$D$1,"continuous","annual",TRUE)</f>
        <v>1.9999999993458018E-2</v>
      </c>
      <c r="R33" s="4"/>
      <c r="S33" s="6"/>
      <c r="T33" s="5"/>
      <c r="U33" s="5"/>
    </row>
    <row r="34" spans="1:21" x14ac:dyDescent="0.2">
      <c r="D34" s="2"/>
    </row>
    <row r="35" spans="1:21" x14ac:dyDescent="0.2">
      <c r="D35" s="2"/>
    </row>
    <row r="36" spans="1:21" x14ac:dyDescent="0.2">
      <c r="D36" s="2"/>
    </row>
    <row r="37" spans="1:21" x14ac:dyDescent="0.2">
      <c r="D37" s="2"/>
    </row>
  </sheetData>
  <phoneticPr fontId="2" type="noConversion"/>
  <dataValidations count="4">
    <dataValidation type="list" allowBlank="1" showInputMessage="1" showErrorMessage="1" sqref="D1">
      <formula1>"Actual/Actual (ISDA),Actual/360,30/360 (Bond Basis),30E/360 (Eurobond Basis),Actual/365 (Fixed),Actual/Actual (ISMA),Actual/Actual (AFB),1/1,30/360 (Italian),Simple"</formula1>
    </dataValidation>
    <dataValidation type="list" allowBlank="1" showInputMessage="1" showErrorMessage="1" sqref="D2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D4 D6">
      <formula1>Interpolations</formula1>
    </dataValidation>
    <dataValidation type="list" allowBlank="1" showInputMessage="1" showErrorMessage="1" sqref="D3">
      <formula1>"Discount,ZeroYield,ForwardRate"</formula1>
    </dataValidation>
  </dataValidations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QuantLib - http://quantlib.org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Ferdinando Ametrano</dc:creator>
  <cp:lastModifiedBy>Boris</cp:lastModifiedBy>
  <dcterms:created xsi:type="dcterms:W3CDTF">2009-03-25T15:56:22Z</dcterms:created>
  <dcterms:modified xsi:type="dcterms:W3CDTF">2015-07-11T14:41:17Z</dcterms:modified>
</cp:coreProperties>
</file>