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980" windowHeight="12150" activeTab="3"/>
  </bookViews>
  <sheets>
    <sheet name="Sheet1" sheetId="1" r:id="rId1"/>
    <sheet name="InputData" sheetId="2" r:id="rId2"/>
    <sheet name="BondCurveInputData" sheetId="3" r:id="rId3"/>
    <sheet name="BondCurve" sheetId="4" r:id="rId4"/>
    <sheet name="DAti_MF" sheetId="5" r:id="rId5"/>
  </sheets>
  <calcPr calcId="145621"/>
</workbook>
</file>

<file path=xl/calcChain.xml><?xml version="1.0" encoding="utf-8"?>
<calcChain xmlns="http://schemas.openxmlformats.org/spreadsheetml/2006/main">
  <c r="E22" i="4" l="1"/>
  <c r="W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3" i="3"/>
  <c r="AE4" i="3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3" i="3"/>
  <c r="B1" i="3"/>
  <c r="B3" i="3" s="1"/>
  <c r="AC16" i="3"/>
  <c r="A1" i="3"/>
  <c r="Z3" i="3" l="1"/>
  <c r="Z5" i="3" s="1"/>
  <c r="Z7" i="3" s="1"/>
  <c r="Z9" i="3" s="1"/>
  <c r="Z11" i="3" s="1"/>
  <c r="Z13" i="3" s="1"/>
  <c r="Z15" i="3" s="1"/>
  <c r="Z17" i="3" s="1"/>
  <c r="X4" i="3"/>
  <c r="X5" i="3" s="1"/>
  <c r="U3" i="3"/>
  <c r="U4" i="3" s="1"/>
  <c r="U5" i="3" s="1"/>
  <c r="U6" i="3" s="1"/>
  <c r="U7" i="3" s="1"/>
  <c r="U8" i="3" s="1"/>
  <c r="U9" i="3" s="1"/>
  <c r="U10" i="3" s="1"/>
  <c r="U11" i="3" s="1"/>
  <c r="U12" i="3" s="1"/>
  <c r="U13" i="3" s="1"/>
  <c r="U14" i="3" s="1"/>
  <c r="U15" i="3" s="1"/>
  <c r="U16" i="3" s="1"/>
  <c r="U17" i="3" s="1"/>
  <c r="T3" i="3"/>
  <c r="T4" i="3" s="1"/>
  <c r="T5" i="3" s="1"/>
  <c r="T6" i="3" s="1"/>
  <c r="T7" i="3" s="1"/>
  <c r="T8" i="3" s="1"/>
  <c r="T9" i="3" s="1"/>
  <c r="T10" i="3" s="1"/>
  <c r="T11" i="3" s="1"/>
  <c r="T12" i="3" s="1"/>
  <c r="T13" i="3" s="1"/>
  <c r="T14" i="3" s="1"/>
  <c r="T15" i="3" s="1"/>
  <c r="T16" i="3" s="1"/>
  <c r="T17" i="3" s="1"/>
  <c r="I7" i="3"/>
  <c r="I8" i="3"/>
  <c r="I9" i="3"/>
  <c r="I10" i="3"/>
  <c r="I11" i="3"/>
  <c r="I12" i="3"/>
  <c r="I13" i="3"/>
  <c r="I14" i="3"/>
  <c r="I15" i="3"/>
  <c r="I16" i="3"/>
  <c r="I17" i="3"/>
  <c r="E17" i="3"/>
  <c r="AA17" i="3" s="1"/>
  <c r="E16" i="3"/>
  <c r="AA16" i="3" s="1"/>
  <c r="E15" i="3"/>
  <c r="AA15" i="3" s="1"/>
  <c r="E14" i="3"/>
  <c r="AA14" i="3" s="1"/>
  <c r="E13" i="3"/>
  <c r="AA13" i="3" s="1"/>
  <c r="E12" i="3"/>
  <c r="AA12" i="3" s="1"/>
  <c r="E11" i="3"/>
  <c r="AA11" i="3" s="1"/>
  <c r="E10" i="3"/>
  <c r="AA10" i="3" s="1"/>
  <c r="E9" i="3"/>
  <c r="AA9" i="3" s="1"/>
  <c r="E8" i="3"/>
  <c r="AA8" i="3" s="1"/>
  <c r="E7" i="3"/>
  <c r="AA7" i="3" s="1"/>
  <c r="I6" i="3"/>
  <c r="E6" i="3"/>
  <c r="AA6" i="3" s="1"/>
  <c r="I5" i="3"/>
  <c r="E5" i="3"/>
  <c r="AA5" i="3" s="1"/>
  <c r="I4" i="3"/>
  <c r="E4" i="3"/>
  <c r="AA4" i="3" s="1"/>
  <c r="I3" i="3"/>
  <c r="E3" i="3"/>
  <c r="AA3" i="3" s="1"/>
  <c r="D3" i="3"/>
  <c r="Z4" i="3" l="1"/>
  <c r="Z6" i="3" s="1"/>
  <c r="Z8" i="3" s="1"/>
  <c r="Z10" i="3" s="1"/>
  <c r="Z12" i="3" s="1"/>
  <c r="Z14" i="3" s="1"/>
  <c r="Z16" i="3" s="1"/>
  <c r="B4" i="3"/>
  <c r="B5" i="3" s="1"/>
  <c r="B6" i="3" s="1"/>
  <c r="B7" i="3" s="1"/>
  <c r="F3" i="3"/>
  <c r="N3" i="3" s="1"/>
  <c r="Q3" i="3" s="1"/>
  <c r="AD3" i="3" s="1"/>
  <c r="B1" i="1"/>
  <c r="B10" i="1" s="1"/>
  <c r="M10" i="1"/>
  <c r="M9" i="1"/>
  <c r="M8" i="1"/>
  <c r="M7" i="1"/>
  <c r="M6" i="1"/>
  <c r="M5" i="1"/>
  <c r="M4" i="1"/>
  <c r="M3" i="1"/>
  <c r="C3" i="3" a="1"/>
  <c r="R3" i="3" l="1"/>
  <c r="B8" i="3"/>
  <c r="D7" i="3"/>
  <c r="F7" i="3"/>
  <c r="N7" i="3" s="1"/>
  <c r="Q7" i="3" s="1"/>
  <c r="AD7" i="3" s="1"/>
  <c r="D6" i="3"/>
  <c r="F6" i="3"/>
  <c r="N6" i="3" s="1"/>
  <c r="Q6" i="3" s="1"/>
  <c r="AD6" i="3" s="1"/>
  <c r="D5" i="3"/>
  <c r="F5" i="3"/>
  <c r="N5" i="3" s="1"/>
  <c r="Q5" i="3" s="1"/>
  <c r="AD5" i="3" s="1"/>
  <c r="D4" i="3"/>
  <c r="F4" i="3"/>
  <c r="N4" i="3" s="1"/>
  <c r="Q4" i="3" s="1"/>
  <c r="AD4" i="3" s="1"/>
  <c r="C3" i="3"/>
  <c r="V3" i="3" s="1"/>
  <c r="B8" i="1"/>
  <c r="B3" i="1"/>
  <c r="B9" i="1"/>
  <c r="A9" i="1" s="1"/>
  <c r="B5" i="1"/>
  <c r="A10" i="1"/>
  <c r="K10" i="1"/>
  <c r="B7" i="1"/>
  <c r="B6" i="1"/>
  <c r="B4" i="1"/>
  <c r="C4" i="3" a="1"/>
  <c r="I10" i="1"/>
  <c r="I9" i="1"/>
  <c r="Q10" i="1"/>
  <c r="P3" i="3"/>
  <c r="W10" i="1"/>
  <c r="C7" i="3" a="1"/>
  <c r="T10" i="1"/>
  <c r="C6" i="3" a="1"/>
  <c r="C5" i="3" a="1"/>
  <c r="AF3" i="3" l="1"/>
  <c r="V17" i="1"/>
  <c r="K3" i="1"/>
  <c r="R5" i="3"/>
  <c r="R7" i="3"/>
  <c r="R4" i="3"/>
  <c r="R6" i="3"/>
  <c r="C7" i="3"/>
  <c r="V7" i="3" s="1"/>
  <c r="B9" i="3"/>
  <c r="F8" i="3"/>
  <c r="N8" i="3" s="1"/>
  <c r="Q8" i="3" s="1"/>
  <c r="AD8" i="3" s="1"/>
  <c r="D8" i="3"/>
  <c r="C6" i="3"/>
  <c r="V6" i="3" s="1"/>
  <c r="C5" i="3"/>
  <c r="V5" i="3" s="1"/>
  <c r="C4" i="3"/>
  <c r="V4" i="3" s="1"/>
  <c r="A3" i="1"/>
  <c r="A8" i="1"/>
  <c r="K8" i="1"/>
  <c r="K9" i="1"/>
  <c r="K5" i="1"/>
  <c r="A5" i="1"/>
  <c r="A4" i="1"/>
  <c r="K4" i="1"/>
  <c r="K6" i="1"/>
  <c r="A6" i="1"/>
  <c r="A7" i="1"/>
  <c r="K7" i="1"/>
  <c r="I3" i="1"/>
  <c r="I6" i="1"/>
  <c r="P5" i="3"/>
  <c r="P7" i="3"/>
  <c r="AC3" i="3"/>
  <c r="P6" i="3"/>
  <c r="I5" i="1"/>
  <c r="Q5" i="1"/>
  <c r="C8" i="3" a="1"/>
  <c r="I4" i="1"/>
  <c r="AC1" i="3"/>
  <c r="I7" i="1"/>
  <c r="Q7" i="1" s="1"/>
  <c r="Q4" i="1"/>
  <c r="I8" i="1"/>
  <c r="Q8" i="1" s="1"/>
  <c r="T8" i="1"/>
  <c r="Q9" i="1"/>
  <c r="T5" i="1"/>
  <c r="P4" i="3"/>
  <c r="Q6" i="1"/>
  <c r="T7" i="1"/>
  <c r="T4" i="1"/>
  <c r="T9" i="1"/>
  <c r="T6" i="1"/>
  <c r="E2" i="4" l="1"/>
  <c r="AF6" i="3"/>
  <c r="AF4" i="3"/>
  <c r="AF7" i="3"/>
  <c r="AF5" i="3"/>
  <c r="R8" i="3"/>
  <c r="C8" i="3"/>
  <c r="V8" i="3" s="1"/>
  <c r="B10" i="3"/>
  <c r="D9" i="3"/>
  <c r="F9" i="3"/>
  <c r="N9" i="3" s="1"/>
  <c r="Q9" i="3" s="1"/>
  <c r="AD9" i="3" s="1"/>
  <c r="Q3" i="1"/>
  <c r="P8" i="3"/>
  <c r="AC6" i="3"/>
  <c r="C9" i="3" a="1"/>
  <c r="W4" i="1"/>
  <c r="W9" i="1"/>
  <c r="AC4" i="3"/>
  <c r="AC7" i="3"/>
  <c r="W8" i="1"/>
  <c r="AC5" i="3"/>
  <c r="W5" i="1"/>
  <c r="W6" i="1"/>
  <c r="W7" i="1"/>
  <c r="S13" i="1"/>
  <c r="V16" i="1"/>
  <c r="T3" i="1"/>
  <c r="W3" i="1"/>
  <c r="S20" i="1"/>
  <c r="S16" i="1"/>
  <c r="S3" i="1"/>
  <c r="S6" i="1"/>
  <c r="S9" i="1"/>
  <c r="S4" i="1"/>
  <c r="S7" i="1"/>
  <c r="S5" i="1"/>
  <c r="S8" i="1"/>
  <c r="S10" i="1"/>
  <c r="V18" i="1" l="1"/>
  <c r="V19" i="1" s="1"/>
  <c r="E4" i="4"/>
  <c r="E6" i="4"/>
  <c r="E3" i="4"/>
  <c r="E5" i="4"/>
  <c r="AF8" i="3"/>
  <c r="R9" i="3"/>
  <c r="C9" i="3"/>
  <c r="V9" i="3" s="1"/>
  <c r="B11" i="3"/>
  <c r="F10" i="3"/>
  <c r="N10" i="3" s="1"/>
  <c r="Q10" i="3" s="1"/>
  <c r="AD10" i="3" s="1"/>
  <c r="D10" i="3"/>
  <c r="U10" i="1"/>
  <c r="U8" i="1"/>
  <c r="S17" i="1"/>
  <c r="U5" i="1"/>
  <c r="U7" i="1"/>
  <c r="U4" i="1"/>
  <c r="AC8" i="3"/>
  <c r="U9" i="1"/>
  <c r="P9" i="3"/>
  <c r="U6" i="1"/>
  <c r="C10" i="3" a="1"/>
  <c r="U3" i="1"/>
  <c r="E7" i="4" l="1"/>
  <c r="AF9" i="3"/>
  <c r="R10" i="3"/>
  <c r="C10" i="3"/>
  <c r="V10" i="3" s="1"/>
  <c r="B12" i="3"/>
  <c r="F11" i="3"/>
  <c r="N11" i="3" s="1"/>
  <c r="Q11" i="3" s="1"/>
  <c r="AD11" i="3" s="1"/>
  <c r="D11" i="3"/>
  <c r="P10" i="3"/>
  <c r="C11" i="3" a="1"/>
  <c r="AC9" i="3"/>
  <c r="E8" i="4" l="1"/>
  <c r="AF10" i="3"/>
  <c r="R11" i="3"/>
  <c r="C11" i="3"/>
  <c r="V11" i="3" s="1"/>
  <c r="B13" i="3"/>
  <c r="D12" i="3"/>
  <c r="F12" i="3"/>
  <c r="N12" i="3" s="1"/>
  <c r="Q12" i="3" s="1"/>
  <c r="AD12" i="3" s="1"/>
  <c r="P11" i="3"/>
  <c r="C12" i="3" a="1"/>
  <c r="AC10" i="3"/>
  <c r="E9" i="4" l="1"/>
  <c r="AF11" i="3"/>
  <c r="R12" i="3"/>
  <c r="C12" i="3"/>
  <c r="V12" i="3" s="1"/>
  <c r="B14" i="3"/>
  <c r="D13" i="3"/>
  <c r="F13" i="3"/>
  <c r="N13" i="3" s="1"/>
  <c r="Q13" i="3" s="1"/>
  <c r="AD13" i="3" s="1"/>
  <c r="C13" i="3" a="1"/>
  <c r="AC11" i="3"/>
  <c r="P12" i="3"/>
  <c r="E10" i="4" l="1"/>
  <c r="AF12" i="3"/>
  <c r="R13" i="3"/>
  <c r="C13" i="3"/>
  <c r="V13" i="3" s="1"/>
  <c r="B15" i="3"/>
  <c r="F14" i="3"/>
  <c r="N14" i="3" s="1"/>
  <c r="Q14" i="3" s="1"/>
  <c r="AD14" i="3" s="1"/>
  <c r="D14" i="3"/>
  <c r="P13" i="3"/>
  <c r="C14" i="3" a="1"/>
  <c r="AC12" i="3"/>
  <c r="E11" i="4" l="1"/>
  <c r="AF13" i="3"/>
  <c r="R14" i="3"/>
  <c r="C14" i="3"/>
  <c r="V14" i="3" s="1"/>
  <c r="B16" i="3"/>
  <c r="D15" i="3"/>
  <c r="F15" i="3"/>
  <c r="N15" i="3" s="1"/>
  <c r="Q15" i="3" s="1"/>
  <c r="AD15" i="3" s="1"/>
  <c r="P14" i="3"/>
  <c r="C15" i="3" a="1"/>
  <c r="AC13" i="3"/>
  <c r="E12" i="4" l="1"/>
  <c r="AF14" i="3"/>
  <c r="R15" i="3"/>
  <c r="C15" i="3"/>
  <c r="V15" i="3" s="1"/>
  <c r="B17" i="3"/>
  <c r="F16" i="3"/>
  <c r="N16" i="3" s="1"/>
  <c r="Q16" i="3" s="1"/>
  <c r="AD16" i="3" s="1"/>
  <c r="D16" i="3"/>
  <c r="P15" i="3"/>
  <c r="C16" i="3" a="1"/>
  <c r="AC14" i="3"/>
  <c r="E13" i="4" l="1"/>
  <c r="AF15" i="3"/>
  <c r="R16" i="3"/>
  <c r="C16" i="3"/>
  <c r="V16" i="3" s="1"/>
  <c r="D17" i="3"/>
  <c r="F17" i="3"/>
  <c r="N17" i="3" s="1"/>
  <c r="Q17" i="3" s="1"/>
  <c r="AD17" i="3" s="1"/>
  <c r="C17" i="3" a="1"/>
  <c r="AC15" i="3"/>
  <c r="P16" i="3"/>
  <c r="E14" i="4" l="1"/>
  <c r="AF16" i="3"/>
  <c r="R17" i="3"/>
  <c r="C17" i="3"/>
  <c r="V17" i="3" s="1"/>
  <c r="P17" i="3"/>
  <c r="E15" i="4" l="1"/>
  <c r="AF17" i="3"/>
  <c r="AC17" i="3"/>
  <c r="W13" i="1"/>
  <c r="W17" i="1"/>
  <c r="E16" i="4" l="1"/>
  <c r="V20" i="1"/>
  <c r="W16" i="1"/>
  <c r="W20" i="1" s="1"/>
  <c r="A2" i="4"/>
  <c r="Y4" i="1"/>
  <c r="C21" i="4" a="1"/>
  <c r="Y5" i="1"/>
  <c r="B21" i="4" a="1"/>
  <c r="Z5" i="1"/>
  <c r="Z4" i="1"/>
  <c r="Y8" i="1"/>
  <c r="Z8" i="1"/>
  <c r="Y7" i="1"/>
  <c r="Z7" i="1" s="1"/>
  <c r="Y6" i="1"/>
  <c r="Z6" i="1" s="1"/>
  <c r="Y10" i="1"/>
  <c r="Z10" i="1" s="1"/>
  <c r="Y3" i="1"/>
  <c r="Y9" i="1"/>
  <c r="Z9" i="1" s="1"/>
  <c r="AA8" i="1" l="1"/>
  <c r="AA4" i="1"/>
  <c r="AA7" i="1"/>
  <c r="AA5" i="1"/>
  <c r="B21" i="4"/>
  <c r="B22" i="4"/>
  <c r="G22" i="4" s="1"/>
  <c r="B29" i="4"/>
  <c r="B36" i="4"/>
  <c r="B32" i="4"/>
  <c r="B24" i="4"/>
  <c r="B25" i="4"/>
  <c r="B33" i="4"/>
  <c r="B28" i="4"/>
  <c r="B35" i="4"/>
  <c r="B26" i="4"/>
  <c r="B23" i="4"/>
  <c r="B34" i="4"/>
  <c r="B30" i="4"/>
  <c r="B27" i="4"/>
  <c r="B31" i="4"/>
  <c r="AA9" i="1"/>
  <c r="C27" i="4"/>
  <c r="C33" i="4"/>
  <c r="C29" i="4"/>
  <c r="C26" i="4"/>
  <c r="C32" i="4"/>
  <c r="C24" i="4"/>
  <c r="C25" i="4"/>
  <c r="C22" i="4"/>
  <c r="C23" i="4"/>
  <c r="C28" i="4"/>
  <c r="C21" i="4"/>
  <c r="C34" i="4"/>
  <c r="C36" i="4"/>
  <c r="C30" i="4"/>
  <c r="C35" i="4"/>
  <c r="C31" i="4"/>
  <c r="K21" i="4"/>
  <c r="AA6" i="1"/>
  <c r="AA10" i="1"/>
  <c r="I21" i="4"/>
  <c r="Z3" i="1"/>
  <c r="AH15" i="3"/>
  <c r="AI15" i="3" s="1"/>
  <c r="AH11" i="3"/>
  <c r="AI11" i="3" s="1"/>
  <c r="AH6" i="3"/>
  <c r="AI6" i="3" s="1"/>
  <c r="AH3" i="3"/>
  <c r="AI3" i="3" s="1"/>
  <c r="AH10" i="3"/>
  <c r="AI10" i="3" s="1"/>
  <c r="AH17" i="3"/>
  <c r="AI17" i="3" s="1"/>
  <c r="AH13" i="3"/>
  <c r="AI13" i="3" s="1"/>
  <c r="AH9" i="3"/>
  <c r="AI9" i="3" s="1"/>
  <c r="AH7" i="3"/>
  <c r="AI7" i="3" s="1"/>
  <c r="AH4" i="3"/>
  <c r="AI4" i="3" s="1"/>
  <c r="AH16" i="3"/>
  <c r="AI16" i="3" s="1"/>
  <c r="AH12" i="3"/>
  <c r="AI12" i="3" s="1"/>
  <c r="AH8" i="3"/>
  <c r="AI8" i="3" s="1"/>
  <c r="AH5" i="3"/>
  <c r="AI5" i="3" s="1"/>
  <c r="AH14" i="3"/>
  <c r="AI14" i="3" s="1"/>
  <c r="E23" i="4" l="1"/>
  <c r="F23" i="4"/>
  <c r="G23" i="4"/>
  <c r="F36" i="4"/>
  <c r="G36" i="4"/>
  <c r="F26" i="4"/>
  <c r="G26" i="4"/>
  <c r="F29" i="4"/>
  <c r="G29" i="4"/>
  <c r="F35" i="4"/>
  <c r="G35" i="4"/>
  <c r="F28" i="4"/>
  <c r="G28" i="4"/>
  <c r="F31" i="4"/>
  <c r="G31" i="4"/>
  <c r="F33" i="4"/>
  <c r="G33" i="4"/>
  <c r="F27" i="4"/>
  <c r="G27" i="4"/>
  <c r="F25" i="4"/>
  <c r="G25" i="4"/>
  <c r="F30" i="4"/>
  <c r="G30" i="4"/>
  <c r="F24" i="4"/>
  <c r="G24" i="4"/>
  <c r="F34" i="4"/>
  <c r="G34" i="4"/>
  <c r="F32" i="4"/>
  <c r="G32" i="4"/>
  <c r="F22" i="4"/>
  <c r="AJ3" i="3"/>
  <c r="AA3" i="1"/>
  <c r="D30" i="4"/>
  <c r="E30" i="4" s="1"/>
  <c r="D31" i="4"/>
  <c r="E31" i="4" s="1"/>
  <c r="B42" i="4"/>
  <c r="D34" i="4"/>
  <c r="E34" i="4" s="1"/>
  <c r="D35" i="4"/>
  <c r="E35" i="4" s="1"/>
  <c r="D28" i="4"/>
  <c r="E28" i="4" s="1"/>
  <c r="D32" i="4"/>
  <c r="E32" i="4" s="1"/>
  <c r="D22" i="4"/>
  <c r="D24" i="4"/>
  <c r="E24" i="4" s="1"/>
  <c r="D21" i="4"/>
  <c r="D27" i="4"/>
  <c r="E27" i="4" s="1"/>
  <c r="D23" i="4"/>
  <c r="D25" i="4"/>
  <c r="E25" i="4" s="1"/>
  <c r="D29" i="4"/>
  <c r="E29" i="4" s="1"/>
  <c r="D33" i="4"/>
  <c r="E33" i="4" s="1"/>
  <c r="D26" i="4"/>
  <c r="E26" i="4" s="1"/>
  <c r="D36" i="4"/>
  <c r="E36" i="4" s="1"/>
  <c r="C42" i="4"/>
  <c r="D42" i="4" l="1"/>
  <c r="B43" i="4"/>
  <c r="C43" i="4"/>
  <c r="B44" i="4" l="1"/>
  <c r="B45" i="4" s="1"/>
  <c r="D43" i="4"/>
  <c r="E43" i="4" s="1"/>
  <c r="C44" i="4"/>
  <c r="C45" i="4"/>
  <c r="D44" i="4" l="1"/>
  <c r="E44" i="4" s="1"/>
  <c r="D45" i="4"/>
  <c r="E45" i="4" s="1"/>
  <c r="B46" i="4"/>
  <c r="C46" i="4"/>
  <c r="D46" i="4" l="1"/>
  <c r="E46" i="4" s="1"/>
  <c r="B47" i="4"/>
  <c r="C47" i="4"/>
  <c r="D47" i="4" l="1"/>
  <c r="E47" i="4" s="1"/>
  <c r="B48" i="4"/>
  <c r="C48" i="4"/>
  <c r="D48" i="4" l="1"/>
  <c r="E48" i="4" s="1"/>
  <c r="B49" i="4"/>
  <c r="C49" i="4"/>
  <c r="D49" i="4" l="1"/>
  <c r="E49" i="4" s="1"/>
  <c r="B50" i="4"/>
  <c r="C50" i="4"/>
  <c r="D50" i="4" l="1"/>
  <c r="E50" i="4" s="1"/>
  <c r="B51" i="4"/>
  <c r="C51" i="4"/>
  <c r="D51" i="4" l="1"/>
  <c r="E51" i="4" s="1"/>
  <c r="B52" i="4"/>
  <c r="C52" i="4"/>
  <c r="D52" i="4" l="1"/>
  <c r="E52" i="4" s="1"/>
  <c r="B53" i="4"/>
  <c r="C53" i="4"/>
  <c r="D53" i="4" l="1"/>
  <c r="E53" i="4" s="1"/>
  <c r="B54" i="4"/>
  <c r="C54" i="4"/>
  <c r="D54" i="4" l="1"/>
  <c r="E54" i="4" s="1"/>
  <c r="B55" i="4"/>
  <c r="C55" i="4"/>
  <c r="D55" i="4" l="1"/>
  <c r="E55" i="4" s="1"/>
  <c r="B56" i="4"/>
  <c r="C56" i="4"/>
  <c r="D56" i="4" l="1"/>
  <c r="E56" i="4" s="1"/>
  <c r="B57" i="4"/>
  <c r="C57" i="4"/>
  <c r="D57" i="4" l="1"/>
  <c r="E57" i="4" s="1"/>
  <c r="B58" i="4"/>
  <c r="C58" i="4"/>
  <c r="D58" i="4" l="1"/>
  <c r="E58" i="4" s="1"/>
  <c r="B59" i="4"/>
  <c r="C59" i="4"/>
  <c r="D59" i="4" l="1"/>
  <c r="E59" i="4" s="1"/>
  <c r="B60" i="4"/>
  <c r="C60" i="4"/>
  <c r="D60" i="4" l="1"/>
  <c r="E60" i="4" s="1"/>
  <c r="B61" i="4"/>
  <c r="C61" i="4"/>
  <c r="D61" i="4" l="1"/>
  <c r="E61" i="4" s="1"/>
  <c r="B62" i="4"/>
  <c r="C62" i="4"/>
  <c r="D62" i="4" l="1"/>
  <c r="E62" i="4" s="1"/>
  <c r="B63" i="4"/>
  <c r="C63" i="4"/>
  <c r="D63" i="4" l="1"/>
  <c r="E63" i="4" s="1"/>
  <c r="B64" i="4"/>
  <c r="C64" i="4"/>
  <c r="D64" i="4" l="1"/>
  <c r="E64" i="4" s="1"/>
  <c r="B65" i="4"/>
  <c r="C65" i="4"/>
  <c r="D65" i="4" l="1"/>
  <c r="E65" i="4" s="1"/>
  <c r="B66" i="4"/>
  <c r="C66" i="4"/>
  <c r="D66" i="4" l="1"/>
  <c r="E66" i="4" s="1"/>
  <c r="B67" i="4"/>
  <c r="C67" i="4"/>
  <c r="D67" i="4" l="1"/>
  <c r="E67" i="4" s="1"/>
  <c r="B68" i="4"/>
  <c r="C68" i="4"/>
  <c r="D68" i="4" l="1"/>
  <c r="E68" i="4" s="1"/>
  <c r="B69" i="4"/>
  <c r="C69" i="4"/>
  <c r="D69" i="4" l="1"/>
  <c r="E69" i="4" s="1"/>
  <c r="B70" i="4"/>
  <c r="C70" i="4"/>
  <c r="D70" i="4" l="1"/>
  <c r="E70" i="4" s="1"/>
  <c r="B71" i="4"/>
  <c r="C71" i="4"/>
  <c r="D71" i="4" l="1"/>
  <c r="E71" i="4" s="1"/>
  <c r="B72" i="4"/>
  <c r="C72" i="4"/>
  <c r="D72" i="4" l="1"/>
  <c r="E72" i="4" s="1"/>
  <c r="B73" i="4"/>
  <c r="C73" i="4"/>
  <c r="D73" i="4" l="1"/>
  <c r="E73" i="4" s="1"/>
  <c r="B74" i="4"/>
  <c r="C74" i="4"/>
  <c r="D74" i="4" l="1"/>
  <c r="E74" i="4" s="1"/>
  <c r="B75" i="4"/>
  <c r="C75" i="4"/>
  <c r="D75" i="4" l="1"/>
  <c r="E75" i="4" s="1"/>
  <c r="B76" i="4"/>
  <c r="C76" i="4"/>
  <c r="D76" i="4" l="1"/>
  <c r="E76" i="4" s="1"/>
  <c r="B77" i="4"/>
  <c r="C77" i="4"/>
  <c r="D77" i="4" l="1"/>
  <c r="E77" i="4" s="1"/>
  <c r="B78" i="4"/>
  <c r="C78" i="4"/>
  <c r="D78" i="4" l="1"/>
  <c r="E78" i="4" s="1"/>
  <c r="B79" i="4"/>
  <c r="C79" i="4"/>
  <c r="D79" i="4" l="1"/>
  <c r="E79" i="4" s="1"/>
  <c r="B80" i="4"/>
  <c r="C80" i="4"/>
  <c r="D80" i="4" l="1"/>
  <c r="E80" i="4" s="1"/>
  <c r="B81" i="4"/>
  <c r="C81" i="4"/>
  <c r="D81" i="4" l="1"/>
  <c r="E81" i="4" s="1"/>
  <c r="B82" i="4"/>
  <c r="C82" i="4"/>
  <c r="D82" i="4" l="1"/>
  <c r="E82" i="4" s="1"/>
  <c r="B83" i="4"/>
  <c r="C83" i="4"/>
  <c r="D83" i="4" l="1"/>
  <c r="E83" i="4" s="1"/>
  <c r="B84" i="4"/>
  <c r="C84" i="4"/>
  <c r="D84" i="4" l="1"/>
  <c r="E84" i="4" s="1"/>
  <c r="B85" i="4"/>
  <c r="C85" i="4"/>
  <c r="D85" i="4" l="1"/>
  <c r="E85" i="4" s="1"/>
  <c r="B86" i="4"/>
  <c r="C86" i="4"/>
  <c r="D86" i="4" l="1"/>
  <c r="E86" i="4" s="1"/>
  <c r="B87" i="4"/>
  <c r="C87" i="4"/>
  <c r="D87" i="4" l="1"/>
  <c r="E87" i="4" s="1"/>
  <c r="B88" i="4"/>
  <c r="C88" i="4"/>
  <c r="D88" i="4" l="1"/>
  <c r="E88" i="4" s="1"/>
  <c r="B89" i="4"/>
  <c r="C89" i="4"/>
  <c r="D89" i="4" l="1"/>
  <c r="E89" i="4" s="1"/>
  <c r="B90" i="4"/>
  <c r="C90" i="4"/>
  <c r="D90" i="4" l="1"/>
  <c r="E90" i="4" s="1"/>
  <c r="B91" i="4"/>
  <c r="C91" i="4"/>
  <c r="D91" i="4" l="1"/>
  <c r="E91" i="4" s="1"/>
  <c r="B92" i="4"/>
  <c r="C92" i="4"/>
  <c r="D92" i="4" l="1"/>
  <c r="E92" i="4" s="1"/>
  <c r="B93" i="4"/>
  <c r="C93" i="4"/>
  <c r="D93" i="4" l="1"/>
  <c r="E93" i="4" s="1"/>
  <c r="B94" i="4"/>
  <c r="C94" i="4"/>
  <c r="D94" i="4" l="1"/>
  <c r="E94" i="4" s="1"/>
  <c r="B95" i="4"/>
  <c r="C95" i="4"/>
  <c r="D95" i="4" l="1"/>
  <c r="E95" i="4" s="1"/>
  <c r="B96" i="4"/>
  <c r="C96" i="4"/>
  <c r="D96" i="4" l="1"/>
  <c r="E96" i="4" s="1"/>
  <c r="B97" i="4"/>
  <c r="C97" i="4"/>
  <c r="D97" i="4" l="1"/>
  <c r="E97" i="4" s="1"/>
  <c r="B98" i="4"/>
  <c r="C98" i="4"/>
  <c r="D98" i="4" l="1"/>
  <c r="E98" i="4" s="1"/>
  <c r="B99" i="4"/>
  <c r="C99" i="4"/>
  <c r="D99" i="4" l="1"/>
  <c r="E99" i="4" s="1"/>
  <c r="B100" i="4"/>
  <c r="C100" i="4"/>
  <c r="D100" i="4" l="1"/>
  <c r="E100" i="4" s="1"/>
  <c r="B101" i="4"/>
  <c r="C101" i="4"/>
  <c r="D101" i="4" l="1"/>
  <c r="E101" i="4" s="1"/>
  <c r="B102" i="4"/>
  <c r="C102" i="4"/>
  <c r="D102" i="4" l="1"/>
  <c r="E102" i="4" s="1"/>
  <c r="B103" i="4"/>
  <c r="C103" i="4"/>
  <c r="D103" i="4" l="1"/>
  <c r="E103" i="4" s="1"/>
</calcChain>
</file>

<file path=xl/sharedStrings.xml><?xml version="1.0" encoding="utf-8"?>
<sst xmlns="http://schemas.openxmlformats.org/spreadsheetml/2006/main" count="815" uniqueCount="288">
  <si>
    <t>BondID</t>
  </si>
  <si>
    <t>Description</t>
  </si>
  <si>
    <t>Coupons</t>
  </si>
  <si>
    <t>DayCounter</t>
  </si>
  <si>
    <t>ScheduleID</t>
  </si>
  <si>
    <t>Tenor</t>
  </si>
  <si>
    <t>Calendar</t>
  </si>
  <si>
    <t>Convention</t>
  </si>
  <si>
    <t>GenRule</t>
  </si>
  <si>
    <t>RateHelperId</t>
  </si>
  <si>
    <t>SEK</t>
  </si>
  <si>
    <t>30E/360</t>
  </si>
  <si>
    <t>1Y</t>
  </si>
  <si>
    <t>Sweden</t>
  </si>
  <si>
    <t>Following</t>
  </si>
  <si>
    <t>Backward</t>
  </si>
  <si>
    <t>BondEngine</t>
  </si>
  <si>
    <t>Error</t>
  </si>
  <si>
    <t>Set Engine</t>
  </si>
  <si>
    <t>PiecewiseCurve</t>
  </si>
  <si>
    <t>Month</t>
  </si>
  <si>
    <t>FlatCurve</t>
  </si>
  <si>
    <t>6M</t>
  </si>
  <si>
    <t>3M</t>
  </si>
  <si>
    <t>Clean Price</t>
  </si>
  <si>
    <t>Effective Date</t>
  </si>
  <si>
    <t>Termination Date</t>
  </si>
  <si>
    <t>Settl Days</t>
  </si>
  <si>
    <t>Face Amount</t>
  </si>
  <si>
    <t>Curr</t>
  </si>
  <si>
    <t>TermDate Conv</t>
  </si>
  <si>
    <t>Accr</t>
  </si>
  <si>
    <t>Ref Clean Price</t>
  </si>
  <si>
    <t>Scadenza</t>
  </si>
  <si>
    <t>Tipo dato di mercato di input</t>
  </si>
  <si>
    <t>Tipo tasso x procedura bootstrapping</t>
  </si>
  <si>
    <t>Day Count[1]</t>
  </si>
  <si>
    <r>
      <t xml:space="preserve">Provider: </t>
    </r>
    <r>
      <rPr>
        <b/>
        <sz val="11"/>
        <color rgb="FF000000"/>
        <rFont val="Calibri"/>
        <family val="2"/>
      </rPr>
      <t>Bloomberg</t>
    </r>
  </si>
  <si>
    <r>
      <t xml:space="preserve">Provider: </t>
    </r>
    <r>
      <rPr>
        <b/>
        <sz val="11"/>
        <color rgb="FF000000"/>
        <rFont val="Calibri"/>
        <family val="2"/>
      </rPr>
      <t>Reuters</t>
    </r>
  </si>
  <si>
    <r>
      <t>Contributore:</t>
    </r>
    <r>
      <rPr>
        <b/>
        <sz val="11"/>
        <color rgb="FF000000"/>
        <rFont val="Calibri"/>
        <family val="2"/>
      </rPr>
      <t xml:space="preserve"> MMTS</t>
    </r>
  </si>
  <si>
    <r>
      <t>Contributore:</t>
    </r>
    <r>
      <rPr>
        <b/>
        <sz val="11"/>
        <color rgb="FF000000"/>
        <rFont val="Calibri"/>
        <family val="2"/>
      </rPr>
      <t xml:space="preserve"> Reuters</t>
    </r>
  </si>
  <si>
    <t>Last Ask</t>
  </si>
  <si>
    <t>Last Bid</t>
  </si>
  <si>
    <t>Price Bid: CF_YIELD;</t>
  </si>
  <si>
    <t>Price Ask: SEC_YLD_1</t>
  </si>
  <si>
    <t>ZC Price</t>
  </si>
  <si>
    <t>Bond Curve</t>
  </si>
  <si>
    <t>act/360</t>
  </si>
  <si>
    <t>/BSYM/MTS/BOTS 0 01/14/16</t>
  </si>
  <si>
    <t>IT3MT=RR</t>
  </si>
  <si>
    <t>5M</t>
  </si>
  <si>
    <t>/BSYM/MTS/BOTS 0 03/31/16</t>
  </si>
  <si>
    <t>IT6MT=RR</t>
  </si>
  <si>
    <t>/BSYM/MTS/BOTS 0 10/14/16</t>
  </si>
  <si>
    <t>IT1YT=RR</t>
  </si>
  <si>
    <t>19M</t>
  </si>
  <si>
    <t>Price</t>
  </si>
  <si>
    <t>act/act</t>
  </si>
  <si>
    <t>/BSYM/MTS/BTPS 1.15 05/15/17</t>
  </si>
  <si>
    <t>IT2YT=RR</t>
  </si>
  <si>
    <t>31M</t>
  </si>
  <si>
    <t>/BSYM/MTS/BTPS 0.25 05/15/18</t>
  </si>
  <si>
    <t>IT3YT=RR</t>
  </si>
  <si>
    <t>42M</t>
  </si>
  <si>
    <t>/BSYM/MTS/BTPS 2.5 05/01/19</t>
  </si>
  <si>
    <t>IT4YT=RR</t>
  </si>
  <si>
    <t>54M</t>
  </si>
  <si>
    <t>/BSYM/MTS/BTPS 0.7 05/01/20</t>
  </si>
  <si>
    <t>IT5YT=RR</t>
  </si>
  <si>
    <t>66M</t>
  </si>
  <si>
    <t>/BSYM/MTS/BTPS 3.75 05/01/21</t>
  </si>
  <si>
    <t>IT6YT=RR</t>
  </si>
  <si>
    <t>78M</t>
  </si>
  <si>
    <t>/BSYM/MTS/BTPS 1.35 04/15/22</t>
  </si>
  <si>
    <t>IT7YT=RR</t>
  </si>
  <si>
    <t>90M</t>
  </si>
  <si>
    <t>/BSYM/MTS/BTPS 4.5 05/01/23</t>
  </si>
  <si>
    <t>IT8YT=RR</t>
  </si>
  <si>
    <t>100M</t>
  </si>
  <si>
    <t>/BSYM/MTS/BTPS 4.5 03/01/24</t>
  </si>
  <si>
    <t>IT9YT=RR</t>
  </si>
  <si>
    <t>115M</t>
  </si>
  <si>
    <t>/BSYM/MTS/BTPS 1.5 06/01/25</t>
  </si>
  <si>
    <t>IT10YT=RR</t>
  </si>
  <si>
    <t>196M</t>
  </si>
  <si>
    <t>/BSYM/MTS/BTPS 1.65 03/01/32</t>
  </si>
  <si>
    <t>IT15YT=RR</t>
  </si>
  <si>
    <t>225M</t>
  </si>
  <si>
    <t>/BSYM/MTS/BTPS 5 08/01/34</t>
  </si>
  <si>
    <t>IT20YT=RR</t>
  </si>
  <si>
    <t>370M</t>
  </si>
  <si>
    <t>/BSYM/MTS/BTPS 3.25 09/01/46</t>
  </si>
  <si>
    <t>IT30YT=RR</t>
  </si>
  <si>
    <t>qlSchedule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</si>
  <si>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</si>
  <si>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qlSchedule(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</si>
  <si>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</si>
  <si>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long</t>
    </r>
    <r>
      <rPr>
        <sz val="10"/>
        <color rgb="FF000000"/>
        <rFont val="Courier New"/>
        <family val="3"/>
      </rPr>
      <t xml:space="preserve"> EffectiveDate</t>
    </r>
  </si>
  <si>
    <r>
      <t>long</t>
    </r>
    <r>
      <rPr>
        <sz val="10"/>
        <color rgb="FF000000"/>
        <rFont val="Courier New"/>
        <family val="3"/>
      </rPr>
      <t xml:space="preserve"> TerminationDate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</si>
  <si>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</si>
  <si>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</si>
  <si>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</si>
  <si>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string</t>
    </r>
    <r>
      <rPr>
        <sz val="10"/>
        <color rgb="FF000000"/>
        <rFont val="Courier New"/>
        <family val="3"/>
      </rPr>
      <t xml:space="preserve"> TermDateConv</t>
    </r>
  </si>
  <si>
    <r>
      <t>string</t>
    </r>
    <r>
      <rPr>
        <sz val="10"/>
        <color rgb="FF000000"/>
        <rFont val="Courier New"/>
        <family val="3"/>
      </rPr>
      <t xml:space="preserve"> GenRule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</si>
  <si>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</si>
  <si>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long</t>
    </r>
    <r>
      <rPr>
        <sz val="10"/>
        <color rgb="FF000000"/>
        <rFont val="Courier New"/>
        <family val="3"/>
      </rPr>
      <t xml:space="preserve"> FirstDate</t>
    </r>
  </si>
  <si>
    <r>
      <t>long</t>
    </r>
    <r>
      <rPr>
        <sz val="10"/>
        <color rgb="FF000000"/>
        <rFont val="Courier New"/>
        <family val="3"/>
      </rPr>
      <t xml:space="preserve"> NextToLastDate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</si>
  <si>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</si>
  <si>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</si>
  <si>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</si>
  <si>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Description:</t>
  </si>
  <si>
    <t>Construct an object of class Schedule and return its id</t>
  </si>
  <si>
    <t>Supported Platforms:</t>
  </si>
  <si>
    <t>C++, Calc, Excel</t>
  </si>
  <si>
    <t>Parameters</t>
  </si>
  <si>
    <t>ObjectId</t>
  </si>
  <si>
    <t>id of object to be created</t>
  </si>
  <si>
    <t>EffectiveDate</t>
  </si>
  <si>
    <t>effective date. Default value = QuantLib::Date().</t>
  </si>
  <si>
    <t>TerminationDate</t>
  </si>
  <si>
    <t>termination date.</t>
  </si>
  <si>
    <t>tenor (e.g. 2D for two days , 3W for three weeks, 6M for six months, 1Y for one year).</t>
  </si>
  <si>
    <t>holiday calendar (e.g. TARGET). Default value = NullCalendar.</t>
  </si>
  <si>
    <t>accrual dates business day convention. Default value = Unadjusted.</t>
  </si>
  <si>
    <t>TermDateConv</t>
  </si>
  <si>
    <t>termination date business day convention. Default value = Unadjusted.</t>
  </si>
  <si>
    <t>Date generation rule (Backward, Forward, ThirdWednesday, Twentieth, TwentiethIMM, Zero). Default value = Backward.</t>
  </si>
  <si>
    <t>EndOfMonth</t>
  </si>
  <si>
    <t>end of month convention. Ignored for Tenor below 1M. Default value = false.</t>
  </si>
  <si>
    <t>FirstDate</t>
  </si>
  <si>
    <t>stub date, if there is an irregular starting period. Default value = QuantLib::Date().</t>
  </si>
  <si>
    <t>NextToLastDate</t>
  </si>
  <si>
    <t>stub date, if there an irregular final period. Default value = QuantLib::Date().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</si>
  <si>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</si>
  <si>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</si>
  <si>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</si>
  <si>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</si>
  <si>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</si>
  <si>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</si>
  <si>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Date</t>
  </si>
  <si>
    <t>TARGET</t>
  </si>
  <si>
    <t>Unadjusted</t>
  </si>
  <si>
    <t>ID</t>
  </si>
  <si>
    <t>TIPO</t>
  </si>
  <si>
    <t>BOT</t>
  </si>
  <si>
    <t>BTP</t>
  </si>
  <si>
    <t>qlFixedRateBond</t>
  </si>
  <si>
    <t>qlFixedRateBond(</t>
  </si>
  <si>
    <r>
      <t>string</t>
    </r>
    <r>
      <rPr>
        <sz val="10"/>
        <color rgb="FF000000"/>
        <rFont val="Courier New"/>
        <family val="3"/>
      </rPr>
      <t xml:space="preserve"> Description</t>
    </r>
  </si>
  <si>
    <r>
      <t>string</t>
    </r>
    <r>
      <rPr>
        <sz val="10"/>
        <color rgb="FF000000"/>
        <rFont val="Courier New"/>
        <family val="3"/>
      </rPr>
      <t xml:space="preserve"> Currency</t>
    </r>
  </si>
  <si>
    <r>
      <t>long</t>
    </r>
    <r>
      <rPr>
        <sz val="10"/>
        <color rgb="FF000000"/>
        <rFont val="Courier New"/>
        <family val="3"/>
      </rPr>
      <t xml:space="preserve"> SettlementDays</t>
    </r>
  </si>
  <si>
    <r>
      <t>double</t>
    </r>
    <r>
      <rPr>
        <sz val="10"/>
        <color rgb="FF000000"/>
        <rFont val="Courier New"/>
        <family val="3"/>
      </rPr>
      <t xml:space="preserve"> FaceAmount</t>
    </r>
  </si>
  <si>
    <r>
      <t>string</t>
    </r>
    <r>
      <rPr>
        <sz val="10"/>
        <color rgb="FF000000"/>
        <rFont val="Courier New"/>
        <family val="3"/>
      </rPr>
      <t xml:space="preserve"> ScheduleID</t>
    </r>
  </si>
  <si>
    <t>vector&lt;double&gt; Coupons</t>
  </si>
  <si>
    <r>
      <t>string</t>
    </r>
    <r>
      <rPr>
        <sz val="10"/>
        <color rgb="FF000000"/>
        <rFont val="Courier New"/>
        <family val="3"/>
      </rPr>
      <t xml:space="preserve"> DayCounter</t>
    </r>
  </si>
  <si>
    <r>
      <t>string</t>
    </r>
    <r>
      <rPr>
        <sz val="10"/>
        <color rgb="FF000000"/>
        <rFont val="Courier New"/>
        <family val="3"/>
      </rPr>
      <t xml:space="preserve"> PaymentBDC</t>
    </r>
  </si>
  <si>
    <r>
      <t>double</t>
    </r>
    <r>
      <rPr>
        <sz val="10"/>
        <color rgb="FF000000"/>
        <rFont val="Courier New"/>
        <family val="3"/>
      </rPr>
      <t xml:space="preserve"> Redemption</t>
    </r>
  </si>
  <si>
    <r>
      <t>long</t>
    </r>
    <r>
      <rPr>
        <sz val="10"/>
        <color rgb="FF000000"/>
        <rFont val="Courier New"/>
        <family val="3"/>
      </rPr>
      <t xml:space="preserve"> IssueDate</t>
    </r>
  </si>
  <si>
    <r>
      <t>string</t>
    </r>
    <r>
      <rPr>
        <sz val="10"/>
        <color rgb="FF000000"/>
        <rFont val="Courier New"/>
        <family val="3"/>
      </rPr>
      <t xml:space="preserve"> PaymentCalendar</t>
    </r>
  </si>
  <si>
    <t>Construct an object of class FixedRateBond and return its id</t>
  </si>
  <si>
    <t>Bond description string. Autogenerated if null Default value = std::string().</t>
  </si>
  <si>
    <t>Currency</t>
  </si>
  <si>
    <t>bond Currency.</t>
  </si>
  <si>
    <t>SettlementDays</t>
  </si>
  <si>
    <t>settlement days.</t>
  </si>
  <si>
    <t>FaceAmount</t>
  </si>
  <si>
    <t>Face nominal amount. Default value = 100.0.</t>
  </si>
  <si>
    <t>Schedule object ID.</t>
  </si>
  <si>
    <t>simple annual compounding coupon rates.</t>
  </si>
  <si>
    <t>Payment DayCounter ID.</t>
  </si>
  <si>
    <t>PaymentBDC</t>
  </si>
  <si>
    <t>payment business day convention. Default value = Following.</t>
  </si>
  <si>
    <t>Redemption</t>
  </si>
  <si>
    <t>Redemption value. Default value = 100.0.</t>
  </si>
  <si>
    <t>IssueDate</t>
  </si>
  <si>
    <t>issue date: the bond can't be traded until then. Default value = QuantLib::Date().</t>
  </si>
  <si>
    <t>PaymentCalendar</t>
  </si>
  <si>
    <t>payment holiday calendar (e.g. TARGET).</t>
  </si>
  <si>
    <t>EUR</t>
  </si>
  <si>
    <t>FixedRateBond</t>
  </si>
  <si>
    <t>qlBondHelper</t>
  </si>
  <si>
    <t>qlBondHelper(</t>
  </si>
  <si>
    <r>
      <t>string</t>
    </r>
    <r>
      <rPr>
        <sz val="10"/>
        <color rgb="FF000000"/>
        <rFont val="Courier New"/>
        <family val="3"/>
      </rPr>
      <t xml:space="preserve"> Price</t>
    </r>
  </si>
  <si>
    <r>
      <t>string</t>
    </r>
    <r>
      <rPr>
        <sz val="10"/>
        <color rgb="FF000000"/>
        <rFont val="Courier New"/>
        <family val="3"/>
      </rPr>
      <t xml:space="preserve"> Bond</t>
    </r>
  </si>
  <si>
    <r>
      <t>bool</t>
    </r>
    <r>
      <rPr>
        <sz val="10"/>
        <color rgb="FF000000"/>
        <rFont val="Courier New"/>
        <family val="3"/>
      </rPr>
      <t xml:space="preserve"> UseCleanPrice</t>
    </r>
  </si>
  <si>
    <t>Construct an object of class BondHelper and return its id</t>
  </si>
  <si>
    <t>price.</t>
  </si>
  <si>
    <t>Bond</t>
  </si>
  <si>
    <t>Bond object ID.</t>
  </si>
  <si>
    <t>UseCleanPrice</t>
  </si>
  <si>
    <t>Type of price specified (TRUE clean price, FALSE for dirty price). Default value = true.</t>
  </si>
  <si>
    <t>BondHelper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</si>
  <si>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</si>
  <si>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</si>
  <si>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</si>
  <si>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RateHelpers</t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</si>
  <si>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</si>
  <si>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</si>
  <si>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</si>
  <si>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</si>
  <si>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</si>
  <si>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</si>
  <si>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</si>
  <si>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</si>
  <si>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</si>
  <si>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RateHelpers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</si>
  <si>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</si>
  <si>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</si>
  <si>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</si>
  <si>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</si>
  <si>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</si>
  <si>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</si>
  <si>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</si>
  <si>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</si>
  <si>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</si>
  <si>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</si>
  <si>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</si>
  <si>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</si>
  <si>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ITALY_BondCurve</t>
  </si>
  <si>
    <t>act/365</t>
  </si>
  <si>
    <t>Dates</t>
  </si>
  <si>
    <t>Data</t>
  </si>
  <si>
    <t>Timefactor</t>
  </si>
  <si>
    <t>Yield</t>
  </si>
  <si>
    <t>qlBondEngine</t>
  </si>
  <si>
    <t>qlBondEngine(</t>
  </si>
  <si>
    <r>
      <t>string</t>
    </r>
    <r>
      <rPr>
        <sz val="10"/>
        <color rgb="FF000000"/>
        <rFont val="Courier New"/>
        <family val="3"/>
      </rPr>
      <t xml:space="preserve"> YieldCurve</t>
    </r>
  </si>
  <si>
    <t>Construct an object of class BondEngine and return its id</t>
  </si>
  <si>
    <t>YieldCurve</t>
  </si>
  <si>
    <t>discounting yield term structure object ID.</t>
  </si>
  <si>
    <t>BOT&amp;BTPEngine</t>
  </si>
  <si>
    <t>GovernmentCurve</t>
  </si>
  <si>
    <t>coupon</t>
  </si>
  <si>
    <t>Date con passo semestrale</t>
  </si>
  <si>
    <t>df</t>
  </si>
  <si>
    <t>LogLinear</t>
  </si>
  <si>
    <t>Input Time Bucket</t>
  </si>
  <si>
    <t>Term</t>
  </si>
  <si>
    <t>Mat. Date</t>
  </si>
  <si>
    <t>Spot %</t>
  </si>
  <si>
    <t>Shock %</t>
  </si>
  <si>
    <t>Input I. Rate % / Price</t>
  </si>
  <si>
    <t>Bid %</t>
  </si>
  <si>
    <t>Ask %</t>
  </si>
  <si>
    <t>Start Date</t>
  </si>
  <si>
    <t>Input Rate Type</t>
  </si>
  <si>
    <t>Capitalisation</t>
  </si>
  <si>
    <t>Day Count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</si>
  <si>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</si>
  <si>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</si>
  <si>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</si>
  <si>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</si>
  <si>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</si>
  <si>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</si>
  <si>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IP Code</t>
  </si>
  <si>
    <t>Closing Ask Price Type</t>
  </si>
  <si>
    <t>Closing Bid Price Type</t>
  </si>
  <si>
    <t>Closing IP</t>
  </si>
  <si>
    <t>I. Rate Freq.</t>
  </si>
  <si>
    <t>H.S. Tenor</t>
  </si>
  <si>
    <t>Coupon I. Rate %</t>
  </si>
  <si>
    <t>Reference Data</t>
  </si>
  <si>
    <t>Annual Spread %</t>
  </si>
  <si>
    <t>Rate Type</t>
  </si>
  <si>
    <t>Redemption Price</t>
  </si>
  <si>
    <t>Rating Agency</t>
  </si>
  <si>
    <t>Rating</t>
  </si>
  <si>
    <t>3 Months</t>
  </si>
  <si>
    <t>Cont.</t>
  </si>
  <si>
    <t>Provider</t>
  </si>
  <si>
    <t>Bloomberg</t>
  </si>
  <si>
    <t>-- None --</t>
  </si>
  <si>
    <t>None</t>
  </si>
  <si>
    <t>Fixed</t>
  </si>
  <si>
    <t>5 Months</t>
  </si>
  <si>
    <t>1 Year</t>
  </si>
  <si>
    <t>BTPS 1.15 05/15/2017</t>
  </si>
  <si>
    <t>BTPS 0 1/4 05/15/201</t>
  </si>
  <si>
    <t>BTPS 2 1/2 05/01/201</t>
  </si>
  <si>
    <t>BTPS 0.7% 05/01/20</t>
  </si>
  <si>
    <t>BTPS 3.75 05/21</t>
  </si>
  <si>
    <t>BTPS 1.35% 04/22</t>
  </si>
  <si>
    <t>BTPS 4.5 5/1/2023</t>
  </si>
  <si>
    <t>BTPS 4.5 03/01/2024</t>
  </si>
  <si>
    <t>BTPS 1.5% 06/25</t>
  </si>
  <si>
    <t>BTPS 1,65 01/03/32</t>
  </si>
  <si>
    <t>BTPS 5 08/01/34</t>
  </si>
  <si>
    <t>BTPS 3.25 09/01/2046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</si>
</sst>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"/>
    <numFmt numFmtId="165" formatCode="0.000000000"/>
    <numFmt numFmtId="166" formatCode="0.000"/>
    <numFmt numFmtId="170" formatCode="0.000000"/>
    <numFmt numFmtId="173" formatCode="0.00000%"/>
    <numFmt numFmtId="175" formatCode="0.0000000%"/>
  </numFmts>
  <fonts count="18" x14ac:knownFonts="1">
    <font>
      <sz val="8"/>
      <name val="Arial"/>
    </font>
    <font>
      <sz val="11"/>
      <color theme="1"/>
      <name val="Calibri"/>
      <family val="2"/>
      <scheme val="minor"/>
    </font>
    <font>
      <sz val="8"/>
      <name val="Courier New"/>
      <family val="3"/>
    </font>
    <font>
      <sz val="8"/>
      <name val="Arial"/>
      <family val="2"/>
    </font>
    <font>
      <b/>
      <sz val="11"/>
      <color rgb="FF000000"/>
      <name val="Calibri"/>
      <family val="2"/>
    </font>
    <font>
      <b/>
      <u/>
      <sz val="11"/>
      <color rgb="FF0000FF"/>
      <name val="Calibri"/>
      <family val="2"/>
    </font>
    <font>
      <sz val="11"/>
      <color rgb="FF000000"/>
      <name val="Calibri"/>
      <family val="2"/>
    </font>
    <font>
      <sz val="7.5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1"/>
      <color rgb="FF602020"/>
      <name val="Arial"/>
      <family val="2"/>
    </font>
    <font>
      <sz val="11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2" fillId="0" borderId="0" xfId="0" applyFont="1"/>
    <xf numFmtId="15" fontId="2" fillId="0" borderId="0" xfId="0" applyNumberFormat="1" applyFont="1" applyBorder="1"/>
    <xf numFmtId="0" fontId="2" fillId="0" borderId="0" xfId="0" applyFont="1" applyBorder="1"/>
    <xf numFmtId="10" fontId="2" fillId="0" borderId="0" xfId="0" applyNumberFormat="1" applyFont="1" applyBorder="1"/>
    <xf numFmtId="0" fontId="2" fillId="0" borderId="1" xfId="0" applyFont="1" applyBorder="1"/>
    <xf numFmtId="164" fontId="2" fillId="0" borderId="0" xfId="0" applyNumberFormat="1" applyFont="1" applyBorder="1"/>
    <xf numFmtId="164" fontId="2" fillId="0" borderId="2" xfId="0" applyNumberFormat="1" applyFont="1" applyBorder="1"/>
    <xf numFmtId="0" fontId="2" fillId="0" borderId="3" xfId="0" applyFont="1" applyBorder="1"/>
    <xf numFmtId="164" fontId="2" fillId="0" borderId="4" xfId="0" applyNumberFormat="1" applyFont="1" applyBorder="1"/>
    <xf numFmtId="164" fontId="2" fillId="0" borderId="5" xfId="0" applyNumberFormat="1" applyFont="1" applyBorder="1"/>
    <xf numFmtId="15" fontId="2" fillId="0" borderId="6" xfId="0" applyNumberFormat="1" applyFont="1" applyBorder="1"/>
    <xf numFmtId="165" fontId="2" fillId="0" borderId="7" xfId="0" applyNumberFormat="1" applyFont="1" applyBorder="1"/>
    <xf numFmtId="15" fontId="2" fillId="0" borderId="8" xfId="0" applyNumberFormat="1" applyFont="1" applyBorder="1"/>
    <xf numFmtId="165" fontId="2" fillId="0" borderId="5" xfId="0" applyNumberFormat="1" applyFont="1" applyBorder="1"/>
    <xf numFmtId="15" fontId="2" fillId="0" borderId="1" xfId="0" applyNumberFormat="1" applyFont="1" applyBorder="1"/>
    <xf numFmtId="0" fontId="2" fillId="0" borderId="2" xfId="0" applyFont="1" applyBorder="1"/>
    <xf numFmtId="15" fontId="2" fillId="0" borderId="3" xfId="0" applyNumberFormat="1" applyFont="1" applyBorder="1"/>
    <xf numFmtId="15" fontId="2" fillId="0" borderId="4" xfId="0" applyNumberFormat="1" applyFont="1" applyBorder="1"/>
    <xf numFmtId="0" fontId="2" fillId="0" borderId="4" xfId="0" applyFont="1" applyBorder="1"/>
    <xf numFmtId="0" fontId="2" fillId="0" borderId="5" xfId="0" applyFont="1" applyBorder="1"/>
    <xf numFmtId="10" fontId="2" fillId="0" borderId="4" xfId="0" applyNumberFormat="1" applyFont="1" applyBorder="1"/>
    <xf numFmtId="164" fontId="2" fillId="0" borderId="1" xfId="0" applyNumberFormat="1" applyFont="1" applyBorder="1"/>
    <xf numFmtId="164" fontId="2" fillId="0" borderId="3" xfId="0" applyNumberFormat="1" applyFont="1" applyBorder="1"/>
    <xf numFmtId="0" fontId="2" fillId="0" borderId="6" xfId="0" applyFont="1" applyBorder="1" applyAlignment="1">
      <alignment horizontal="center"/>
    </xf>
    <xf numFmtId="0" fontId="2" fillId="0" borderId="9" xfId="0" quotePrefix="1" applyFont="1" applyBorder="1"/>
    <xf numFmtId="14" fontId="2" fillId="0" borderId="0" xfId="0" applyNumberFormat="1" applyFont="1"/>
    <xf numFmtId="0" fontId="2" fillId="0" borderId="0" xfId="0" applyNumberFormat="1" applyFont="1" applyBorder="1"/>
    <xf numFmtId="0" fontId="2" fillId="0" borderId="4" xfId="0" applyNumberFormat="1" applyFont="1" applyBorder="1"/>
    <xf numFmtId="165" fontId="2" fillId="0" borderId="0" xfId="0" applyNumberFormat="1" applyFont="1" applyBorder="1"/>
    <xf numFmtId="165" fontId="2" fillId="0" borderId="10" xfId="0" applyNumberFormat="1" applyFont="1" applyBorder="1"/>
    <xf numFmtId="165" fontId="2" fillId="0" borderId="3" xfId="0" applyNumberFormat="1" applyFont="1" applyBorder="1"/>
    <xf numFmtId="0" fontId="2" fillId="0" borderId="0" xfId="0" applyFont="1" applyBorder="1" applyAlignment="1">
      <alignment horizontal="center"/>
    </xf>
    <xf numFmtId="0" fontId="2" fillId="0" borderId="0" xfId="0" quotePrefix="1" applyFont="1" applyBorder="1"/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/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7" fillId="0" borderId="16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0" fillId="0" borderId="21" xfId="0" applyBorder="1" applyAlignment="1">
      <alignment vertical="center" wrapText="1"/>
    </xf>
    <xf numFmtId="0" fontId="11" fillId="0" borderId="0" xfId="0" applyFont="1" applyAlignment="1">
      <alignment horizontal="left" vertical="center" wrapText="1" indent="5"/>
    </xf>
    <xf numFmtId="0" fontId="10" fillId="0" borderId="0" xfId="0" applyFont="1" applyAlignment="1">
      <alignment horizontal="left" vertical="center" wrapText="1" indent="5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center" wrapText="1"/>
    </xf>
    <xf numFmtId="0" fontId="3" fillId="0" borderId="0" xfId="0" applyFont="1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  <xf numFmtId="15" fontId="2" fillId="0" borderId="0" xfId="0" applyNumberFormat="1" applyFont="1"/>
    <xf numFmtId="0" fontId="3" fillId="2" borderId="9" xfId="0" applyFont="1" applyFill="1" applyBorder="1"/>
    <xf numFmtId="0" fontId="0" fillId="2" borderId="9" xfId="0" applyFill="1" applyBorder="1"/>
    <xf numFmtId="0" fontId="14" fillId="0" borderId="0" xfId="0" applyFont="1"/>
    <xf numFmtId="14" fontId="14" fillId="0" borderId="0" xfId="0" applyNumberFormat="1" applyFont="1"/>
    <xf numFmtId="0" fontId="15" fillId="3" borderId="0" xfId="0" applyFont="1" applyFill="1"/>
    <xf numFmtId="14" fontId="15" fillId="3" borderId="0" xfId="0" applyNumberFormat="1" applyFont="1" applyFill="1"/>
    <xf numFmtId="0" fontId="16" fillId="3" borderId="0" xfId="0" applyFont="1" applyFill="1"/>
    <xf numFmtId="0" fontId="16" fillId="0" borderId="0" xfId="0" applyFont="1"/>
    <xf numFmtId="0" fontId="16" fillId="2" borderId="0" xfId="0" applyFont="1" applyFill="1"/>
    <xf numFmtId="0" fontId="3" fillId="4" borderId="0" xfId="0" applyFont="1" applyFill="1"/>
    <xf numFmtId="0" fontId="3" fillId="0" borderId="9" xfId="0" applyFont="1" applyBorder="1"/>
    <xf numFmtId="14" fontId="0" fillId="0" borderId="9" xfId="0" applyNumberFormat="1" applyBorder="1"/>
    <xf numFmtId="166" fontId="0" fillId="0" borderId="9" xfId="0" applyNumberFormat="1" applyBorder="1"/>
    <xf numFmtId="0" fontId="0" fillId="0" borderId="9" xfId="0" applyBorder="1"/>
    <xf numFmtId="0" fontId="16" fillId="0" borderId="9" xfId="0" applyFont="1" applyBorder="1" applyAlignment="1">
      <alignment horizontal="center"/>
    </xf>
    <xf numFmtId="164" fontId="0" fillId="0" borderId="0" xfId="0" applyNumberFormat="1"/>
    <xf numFmtId="0" fontId="3" fillId="0" borderId="9" xfId="0" applyFont="1" applyFill="1" applyBorder="1"/>
    <xf numFmtId="10" fontId="0" fillId="0" borderId="9" xfId="1" applyNumberFormat="1" applyFont="1" applyBorder="1"/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7" fillId="5" borderId="22" xfId="2" applyFont="1" applyFill="1" applyBorder="1" applyAlignment="1">
      <alignment horizontal="center" wrapText="1"/>
    </xf>
    <xf numFmtId="0" fontId="17" fillId="5" borderId="22" xfId="2" applyFont="1" applyFill="1" applyBorder="1" applyAlignment="1">
      <alignment horizontal="right" wrapText="1"/>
    </xf>
    <xf numFmtId="0" fontId="7" fillId="5" borderId="22" xfId="2" applyFont="1" applyFill="1" applyBorder="1"/>
    <xf numFmtId="0" fontId="7" fillId="5" borderId="22" xfId="2" applyFont="1" applyFill="1" applyBorder="1" applyAlignment="1">
      <alignment horizontal="right"/>
    </xf>
    <xf numFmtId="14" fontId="7" fillId="5" borderId="22" xfId="2" applyNumberFormat="1" applyFont="1" applyFill="1" applyBorder="1"/>
    <xf numFmtId="0" fontId="7" fillId="6" borderId="22" xfId="2" applyFont="1" applyFill="1" applyBorder="1" applyAlignment="1">
      <alignment horizontal="right"/>
    </xf>
    <xf numFmtId="14" fontId="7" fillId="6" borderId="22" xfId="2" applyNumberFormat="1" applyFont="1" applyFill="1" applyBorder="1"/>
    <xf numFmtId="0" fontId="7" fillId="6" borderId="22" xfId="2" applyFont="1" applyFill="1" applyBorder="1"/>
    <xf numFmtId="22" fontId="7" fillId="6" borderId="22" xfId="2" applyNumberFormat="1" applyFont="1" applyFill="1" applyBorder="1"/>
    <xf numFmtId="0" fontId="7" fillId="6" borderId="22" xfId="2" applyFont="1" applyFill="1" applyBorder="1" applyAlignment="1">
      <alignment horizontal="center"/>
    </xf>
    <xf numFmtId="0" fontId="7" fillId="5" borderId="22" xfId="2" applyFont="1" applyFill="1" applyBorder="1" applyAlignment="1">
      <alignment horizontal="center"/>
    </xf>
    <xf numFmtId="170" fontId="16" fillId="3" borderId="0" xfId="0" applyNumberFormat="1" applyFont="1" applyFill="1"/>
    <xf numFmtId="173" fontId="0" fillId="0" borderId="9" xfId="1" applyNumberFormat="1" applyFont="1" applyBorder="1"/>
    <xf numFmtId="175" fontId="0" fillId="0" borderId="9" xfId="1" applyNumberFormat="1" applyFont="1" applyBorder="1"/>
    <xf numFmtId="173" fontId="0" fillId="0" borderId="0" xfId="1" applyNumberFormat="1" applyFont="1"/>
    <xf numFmtId="173" fontId="16" fillId="3" borderId="0" xfId="1" applyNumberFormat="1" applyFont="1" applyFill="1"/>
  </cellXfs>
  <cellStyles count="3">
    <cellStyle name="Normale" xfId="0" builtinId="0"/>
    <cellStyle name="Normale 2" xfId="2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BondCurve!$B$22:$B$36</c:f>
              <c:numCache>
                <c:formatCode>m/d/yyyy</c:formatCode>
                <c:ptCount val="15"/>
                <c:pt idx="0">
                  <c:v>42383</c:v>
                </c:pt>
                <c:pt idx="1">
                  <c:v>42460</c:v>
                </c:pt>
                <c:pt idx="2">
                  <c:v>42657</c:v>
                </c:pt>
                <c:pt idx="3">
                  <c:v>42870</c:v>
                </c:pt>
                <c:pt idx="4">
                  <c:v>43235</c:v>
                </c:pt>
                <c:pt idx="5">
                  <c:v>43586</c:v>
                </c:pt>
                <c:pt idx="6">
                  <c:v>43952</c:v>
                </c:pt>
                <c:pt idx="7">
                  <c:v>44317</c:v>
                </c:pt>
                <c:pt idx="8">
                  <c:v>44666</c:v>
                </c:pt>
                <c:pt idx="9">
                  <c:v>45047</c:v>
                </c:pt>
                <c:pt idx="10">
                  <c:v>45352</c:v>
                </c:pt>
                <c:pt idx="11">
                  <c:v>45809</c:v>
                </c:pt>
                <c:pt idx="12">
                  <c:v>48274</c:v>
                </c:pt>
                <c:pt idx="13">
                  <c:v>49157</c:v>
                </c:pt>
                <c:pt idx="14">
                  <c:v>53571</c:v>
                </c:pt>
              </c:numCache>
            </c:numRef>
          </c:xVal>
          <c:yVal>
            <c:numRef>
              <c:f>BondCurve!$E$22:$E$36</c:f>
              <c:numCache>
                <c:formatCode>0.00000%</c:formatCode>
                <c:ptCount val="15"/>
                <c:pt idx="0">
                  <c:v>-7.2526430628929795E-4</c:v>
                </c:pt>
                <c:pt idx="1">
                  <c:v>-6.0040732228694373E-4</c:v>
                </c:pt>
                <c:pt idx="2">
                  <c:v>-2.8511704820248268E-4</c:v>
                </c:pt>
                <c:pt idx="3">
                  <c:v>2.0304870127114488E-4</c:v>
                </c:pt>
                <c:pt idx="4">
                  <c:v>1.5094212135787395E-3</c:v>
                </c:pt>
                <c:pt idx="5">
                  <c:v>2.8486380673205377E-3</c:v>
                </c:pt>
                <c:pt idx="6">
                  <c:v>5.1091888486653071E-3</c:v>
                </c:pt>
                <c:pt idx="7">
                  <c:v>7.067383973700418E-3</c:v>
                </c:pt>
                <c:pt idx="8">
                  <c:v>9.5446676753687763E-3</c:v>
                </c:pt>
                <c:pt idx="9">
                  <c:v>1.0593529143623256E-2</c:v>
                </c:pt>
                <c:pt idx="10">
                  <c:v>1.177529379285382E-2</c:v>
                </c:pt>
                <c:pt idx="11">
                  <c:v>1.3829612090038178E-2</c:v>
                </c:pt>
                <c:pt idx="12">
                  <c:v>1.7537625188715045E-2</c:v>
                </c:pt>
                <c:pt idx="13">
                  <c:v>1.6637489556583517E-2</c:v>
                </c:pt>
                <c:pt idx="14">
                  <c:v>1.8226084918036876E-2</c:v>
                </c:pt>
              </c:numCache>
            </c:numRef>
          </c:yVal>
          <c:smooth val="0"/>
        </c:ser>
        <c:ser>
          <c:idx val="1"/>
          <c:order val="1"/>
          <c:xVal>
            <c:numRef>
              <c:f>BondCurve!$B$43:$B$103</c:f>
              <c:numCache>
                <c:formatCode>m/d/yyyy</c:formatCode>
                <c:ptCount val="61"/>
                <c:pt idx="0">
                  <c:v>42488</c:v>
                </c:pt>
                <c:pt idx="1">
                  <c:v>42671</c:v>
                </c:pt>
                <c:pt idx="2">
                  <c:v>42853</c:v>
                </c:pt>
                <c:pt idx="3">
                  <c:v>43036</c:v>
                </c:pt>
                <c:pt idx="4">
                  <c:v>43218</c:v>
                </c:pt>
                <c:pt idx="5">
                  <c:v>43401</c:v>
                </c:pt>
                <c:pt idx="6">
                  <c:v>43583</c:v>
                </c:pt>
                <c:pt idx="7">
                  <c:v>43766</c:v>
                </c:pt>
                <c:pt idx="8">
                  <c:v>43949</c:v>
                </c:pt>
                <c:pt idx="9">
                  <c:v>44132</c:v>
                </c:pt>
                <c:pt idx="10">
                  <c:v>44314</c:v>
                </c:pt>
                <c:pt idx="11">
                  <c:v>44497</c:v>
                </c:pt>
                <c:pt idx="12">
                  <c:v>44679</c:v>
                </c:pt>
                <c:pt idx="13">
                  <c:v>44862</c:v>
                </c:pt>
                <c:pt idx="14">
                  <c:v>45044</c:v>
                </c:pt>
                <c:pt idx="15">
                  <c:v>45227</c:v>
                </c:pt>
                <c:pt idx="16">
                  <c:v>45410</c:v>
                </c:pt>
                <c:pt idx="17">
                  <c:v>45593</c:v>
                </c:pt>
                <c:pt idx="18">
                  <c:v>45775</c:v>
                </c:pt>
                <c:pt idx="19">
                  <c:v>45958</c:v>
                </c:pt>
                <c:pt idx="20">
                  <c:v>46140</c:v>
                </c:pt>
                <c:pt idx="21">
                  <c:v>46323</c:v>
                </c:pt>
                <c:pt idx="22">
                  <c:v>46505</c:v>
                </c:pt>
                <c:pt idx="23">
                  <c:v>46688</c:v>
                </c:pt>
                <c:pt idx="24">
                  <c:v>46871</c:v>
                </c:pt>
                <c:pt idx="25">
                  <c:v>47054</c:v>
                </c:pt>
                <c:pt idx="26">
                  <c:v>47236</c:v>
                </c:pt>
                <c:pt idx="27">
                  <c:v>47419</c:v>
                </c:pt>
                <c:pt idx="28">
                  <c:v>47601</c:v>
                </c:pt>
                <c:pt idx="29">
                  <c:v>47784</c:v>
                </c:pt>
                <c:pt idx="30">
                  <c:v>47966</c:v>
                </c:pt>
                <c:pt idx="31">
                  <c:v>48149</c:v>
                </c:pt>
                <c:pt idx="32">
                  <c:v>48332</c:v>
                </c:pt>
                <c:pt idx="33">
                  <c:v>48515</c:v>
                </c:pt>
                <c:pt idx="34">
                  <c:v>48697</c:v>
                </c:pt>
                <c:pt idx="35">
                  <c:v>48880</c:v>
                </c:pt>
                <c:pt idx="36">
                  <c:v>49062</c:v>
                </c:pt>
                <c:pt idx="37">
                  <c:v>49245</c:v>
                </c:pt>
                <c:pt idx="38">
                  <c:v>49427</c:v>
                </c:pt>
                <c:pt idx="39">
                  <c:v>49610</c:v>
                </c:pt>
                <c:pt idx="40">
                  <c:v>49793</c:v>
                </c:pt>
                <c:pt idx="41">
                  <c:v>49976</c:v>
                </c:pt>
                <c:pt idx="42">
                  <c:v>50158</c:v>
                </c:pt>
                <c:pt idx="43">
                  <c:v>50341</c:v>
                </c:pt>
                <c:pt idx="44">
                  <c:v>50523</c:v>
                </c:pt>
                <c:pt idx="45">
                  <c:v>50706</c:v>
                </c:pt>
                <c:pt idx="46">
                  <c:v>50888</c:v>
                </c:pt>
                <c:pt idx="47">
                  <c:v>51071</c:v>
                </c:pt>
                <c:pt idx="48">
                  <c:v>51254</c:v>
                </c:pt>
                <c:pt idx="49">
                  <c:v>51437</c:v>
                </c:pt>
                <c:pt idx="50">
                  <c:v>51619</c:v>
                </c:pt>
                <c:pt idx="51">
                  <c:v>51802</c:v>
                </c:pt>
                <c:pt idx="52">
                  <c:v>51984</c:v>
                </c:pt>
                <c:pt idx="53">
                  <c:v>52167</c:v>
                </c:pt>
                <c:pt idx="54">
                  <c:v>52349</c:v>
                </c:pt>
                <c:pt idx="55">
                  <c:v>52532</c:v>
                </c:pt>
                <c:pt idx="56">
                  <c:v>52715</c:v>
                </c:pt>
                <c:pt idx="57">
                  <c:v>52898</c:v>
                </c:pt>
                <c:pt idx="58">
                  <c:v>53080</c:v>
                </c:pt>
                <c:pt idx="59">
                  <c:v>53263</c:v>
                </c:pt>
                <c:pt idx="60">
                  <c:v>53445</c:v>
                </c:pt>
              </c:numCache>
            </c:numRef>
          </c:xVal>
          <c:yVal>
            <c:numRef>
              <c:f>BondCurve!$E$43:$E$103</c:f>
              <c:numCache>
                <c:formatCode>0.0000000%</c:formatCode>
                <c:ptCount val="61"/>
                <c:pt idx="0">
                  <c:v>-5.1420996461647368E-4</c:v>
                </c:pt>
                <c:pt idx="1">
                  <c:v>-2.356518233137398E-4</c:v>
                </c:pt>
                <c:pt idx="2">
                  <c:v>1.7799050502143049E-4</c:v>
                </c:pt>
                <c:pt idx="3">
                  <c:v>9.5891995457417201E-4</c:v>
                </c:pt>
                <c:pt idx="4">
                  <c:v>1.4717681115645415E-3</c:v>
                </c:pt>
                <c:pt idx="5">
                  <c:v>2.2496917312882637E-3</c:v>
                </c:pt>
                <c:pt idx="6">
                  <c:v>2.8403086017160244E-3</c:v>
                </c:pt>
                <c:pt idx="7">
                  <c:v>4.103371236003444E-3</c:v>
                </c:pt>
                <c:pt idx="8">
                  <c:v>5.0947945218071892E-3</c:v>
                </c:pt>
                <c:pt idx="9">
                  <c:v>6.1712483075720944E-3</c:v>
                </c:pt>
                <c:pt idx="10">
                  <c:v>7.0541456857819195E-3</c:v>
                </c:pt>
                <c:pt idx="11">
                  <c:v>8.4435735397376636E-3</c:v>
                </c:pt>
                <c:pt idx="12">
                  <c:v>9.5860031799684699E-3</c:v>
                </c:pt>
                <c:pt idx="13">
                  <c:v>1.012327769408836E-2</c:v>
                </c:pt>
                <c:pt idx="14">
                  <c:v>1.0586410153916259E-2</c:v>
                </c:pt>
                <c:pt idx="15">
                  <c:v>1.1321541582163702E-2</c:v>
                </c:pt>
                <c:pt idx="16">
                  <c:v>1.2069055408930328E-2</c:v>
                </c:pt>
                <c:pt idx="17">
                  <c:v>1.2927987423391874E-2</c:v>
                </c:pt>
                <c:pt idx="18">
                  <c:v>1.3694911292602049E-2</c:v>
                </c:pt>
                <c:pt idx="19">
                  <c:v>1.4196288829719964E-2</c:v>
                </c:pt>
                <c:pt idx="20">
                  <c:v>1.4605518590653422E-2</c:v>
                </c:pt>
                <c:pt idx="21">
                  <c:v>1.497961768040101E-2</c:v>
                </c:pt>
                <c:pt idx="22">
                  <c:v>1.5319339176200021E-2</c:v>
                </c:pt>
                <c:pt idx="23">
                  <c:v>1.5632481082531471E-2</c:v>
                </c:pt>
                <c:pt idx="24">
                  <c:v>1.5918910988393601E-2</c:v>
                </c:pt>
                <c:pt idx="25">
                  <c:v>1.6182412706979843E-2</c:v>
                </c:pt>
                <c:pt idx="26">
                  <c:v>1.6426555674266565E-2</c:v>
                </c:pt>
                <c:pt idx="27">
                  <c:v>1.6655316009875604E-2</c:v>
                </c:pt>
                <c:pt idx="28">
                  <c:v>1.6867146294315075E-2</c:v>
                </c:pt>
                <c:pt idx="29">
                  <c:v>1.7065951235515242E-2</c:v>
                </c:pt>
                <c:pt idx="30">
                  <c:v>1.7250921660409268E-2</c:v>
                </c:pt>
                <c:pt idx="31">
                  <c:v>1.742529219101167E-2</c:v>
                </c:pt>
                <c:pt idx="32">
                  <c:v>1.7470224805731138E-2</c:v>
                </c:pt>
                <c:pt idx="33">
                  <c:v>1.7265817958755546E-2</c:v>
                </c:pt>
                <c:pt idx="34">
                  <c:v>1.7074664726915611E-2</c:v>
                </c:pt>
                <c:pt idx="35">
                  <c:v>1.6893417928806123E-2</c:v>
                </c:pt>
                <c:pt idx="36">
                  <c:v>1.6722898649386624E-2</c:v>
                </c:pt>
                <c:pt idx="37">
                  <c:v>1.6689081118919192E-2</c:v>
                </c:pt>
                <c:pt idx="38">
                  <c:v>1.6791736750784235E-2</c:v>
                </c:pt>
                <c:pt idx="39">
                  <c:v>1.6889798973393495E-2</c:v>
                </c:pt>
                <c:pt idx="40">
                  <c:v>1.6982176562064414E-2</c:v>
                </c:pt>
                <c:pt idx="41">
                  <c:v>1.7069667235615763E-2</c:v>
                </c:pt>
                <c:pt idx="42">
                  <c:v>1.7153478442603568E-2</c:v>
                </c:pt>
                <c:pt idx="43">
                  <c:v>1.723438259971628E-2</c:v>
                </c:pt>
                <c:pt idx="44">
                  <c:v>1.7311270959492107E-2</c:v>
                </c:pt>
                <c:pt idx="45">
                  <c:v>1.7385222843311548E-2</c:v>
                </c:pt>
                <c:pt idx="46">
                  <c:v>1.7455642931427987E-2</c:v>
                </c:pt>
                <c:pt idx="47">
                  <c:v>1.7523501670317201E-2</c:v>
                </c:pt>
                <c:pt idx="48">
                  <c:v>1.7587839114772547E-2</c:v>
                </c:pt>
                <c:pt idx="49">
                  <c:v>1.7649195302865711E-2</c:v>
                </c:pt>
                <c:pt idx="50">
                  <c:v>1.7708535575598778E-2</c:v>
                </c:pt>
                <c:pt idx="51">
                  <c:v>1.7766298063881348E-2</c:v>
                </c:pt>
                <c:pt idx="52">
                  <c:v>1.782157856043675E-2</c:v>
                </c:pt>
                <c:pt idx="53">
                  <c:v>1.7875105581831422E-2</c:v>
                </c:pt>
                <c:pt idx="54">
                  <c:v>1.792640555772676E-2</c:v>
                </c:pt>
                <c:pt idx="55">
                  <c:v>1.7976146453834139E-2</c:v>
                </c:pt>
                <c:pt idx="56">
                  <c:v>1.8023497250668648E-2</c:v>
                </c:pt>
                <c:pt idx="57">
                  <c:v>1.8068864877478597E-2</c:v>
                </c:pt>
                <c:pt idx="58">
                  <c:v>1.8113070486541826E-2</c:v>
                </c:pt>
                <c:pt idx="59">
                  <c:v>1.8156375876441165E-2</c:v>
                </c:pt>
                <c:pt idx="60">
                  <c:v>1.8198033485442411E-2</c:v>
                </c:pt>
              </c:numCache>
            </c:numRef>
          </c:yVal>
          <c:smooth val="0"/>
        </c:ser>
        <c:ser>
          <c:idx val="2"/>
          <c:order val="2"/>
          <c:xVal>
            <c:numRef>
              <c:f>BondCurve!$B$22:$B$36</c:f>
              <c:numCache>
                <c:formatCode>m/d/yyyy</c:formatCode>
                <c:ptCount val="15"/>
                <c:pt idx="0">
                  <c:v>42383</c:v>
                </c:pt>
                <c:pt idx="1">
                  <c:v>42460</c:v>
                </c:pt>
                <c:pt idx="2">
                  <c:v>42657</c:v>
                </c:pt>
                <c:pt idx="3">
                  <c:v>42870</c:v>
                </c:pt>
                <c:pt idx="4">
                  <c:v>43235</c:v>
                </c:pt>
                <c:pt idx="5">
                  <c:v>43586</c:v>
                </c:pt>
                <c:pt idx="6">
                  <c:v>43952</c:v>
                </c:pt>
                <c:pt idx="7">
                  <c:v>44317</c:v>
                </c:pt>
                <c:pt idx="8">
                  <c:v>44666</c:v>
                </c:pt>
                <c:pt idx="9">
                  <c:v>45047</c:v>
                </c:pt>
                <c:pt idx="10">
                  <c:v>45352</c:v>
                </c:pt>
                <c:pt idx="11">
                  <c:v>45809</c:v>
                </c:pt>
                <c:pt idx="12">
                  <c:v>48274</c:v>
                </c:pt>
                <c:pt idx="13">
                  <c:v>49157</c:v>
                </c:pt>
                <c:pt idx="14">
                  <c:v>53571</c:v>
                </c:pt>
              </c:numCache>
            </c:numRef>
          </c:xVal>
          <c:yVal>
            <c:numRef>
              <c:f>BondCurve!$G$22:$G$36</c:f>
              <c:numCache>
                <c:formatCode>0.00000%</c:formatCode>
                <c:ptCount val="15"/>
                <c:pt idx="0">
                  <c:v>-7.2499398000000004E-4</c:v>
                </c:pt>
                <c:pt idx="1">
                  <c:v>-6.0036775000000002E-4</c:v>
                </c:pt>
                <c:pt idx="2">
                  <c:v>-2.8506037E-4</c:v>
                </c:pt>
                <c:pt idx="3">
                  <c:v>2.276678E-4</c:v>
                </c:pt>
                <c:pt idx="4">
                  <c:v>1.5190080899999999E-3</c:v>
                </c:pt>
                <c:pt idx="5">
                  <c:v>3.0513200099999997E-3</c:v>
                </c:pt>
                <c:pt idx="6">
                  <c:v>5.2110523900000009E-3</c:v>
                </c:pt>
                <c:pt idx="7">
                  <c:v>8.1235396599999999E-3</c:v>
                </c:pt>
                <c:pt idx="8">
                  <c:v>1.011750977E-2</c:v>
                </c:pt>
                <c:pt idx="9">
                  <c:v>1.299234378E-2</c:v>
                </c:pt>
                <c:pt idx="10">
                  <c:v>1.4665696779999999E-2</c:v>
                </c:pt>
                <c:pt idx="11">
                  <c:v>1.51413846E-2</c:v>
                </c:pt>
                <c:pt idx="12">
                  <c:v>2.0524897050000001E-2</c:v>
                </c:pt>
                <c:pt idx="13">
                  <c:v>2.571763945E-2</c:v>
                </c:pt>
                <c:pt idx="14">
                  <c:v>2.7983623199999998E-2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0520832"/>
        <c:axId val="370522368"/>
      </c:scatterChart>
      <c:valAx>
        <c:axId val="370520832"/>
        <c:scaling>
          <c:orientation val="minMax"/>
          <c:max val="55000"/>
          <c:min val="42000"/>
        </c:scaling>
        <c:delete val="0"/>
        <c:axPos val="b"/>
        <c:numFmt formatCode="m/d/yyyy" sourceLinked="1"/>
        <c:majorTickMark val="out"/>
        <c:minorTickMark val="none"/>
        <c:tickLblPos val="nextTo"/>
        <c:crossAx val="370522368"/>
        <c:crosses val="autoZero"/>
        <c:crossBetween val="midCat"/>
      </c:valAx>
      <c:valAx>
        <c:axId val="370522368"/>
        <c:scaling>
          <c:orientation val="minMax"/>
        </c:scaling>
        <c:delete val="0"/>
        <c:axPos val="l"/>
        <c:majorGridlines/>
        <c:numFmt formatCode="0.00000%" sourceLinked="1"/>
        <c:majorTickMark val="out"/>
        <c:minorTickMark val="none"/>
        <c:tickLblPos val="nextTo"/>
        <c:crossAx val="3705208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504824</xdr:colOff>
      <xdr:row>22</xdr:row>
      <xdr:rowOff>100011</xdr:rowOff>
    </xdr:from>
    <xdr:to>
      <xdr:col>19</xdr:col>
      <xdr:colOff>476250</xdr:colOff>
      <xdr:row>63</xdr:row>
      <xdr:rowOff>133349</xdr:rowOff>
    </xdr:to>
    <xdr:graphicFrame macro="">
      <xdr:nvGraphicFramePr>
        <xdr:cNvPr id="3" name="Gra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20"/>
  <sheetViews>
    <sheetView workbookViewId="0">
      <selection activeCell="S10" sqref="S10"/>
    </sheetView>
  </sheetViews>
  <sheetFormatPr defaultRowHeight="11.25" outlineLevelCol="1" x14ac:dyDescent="0.2"/>
  <cols>
    <col min="1" max="1" width="11.6640625" style="1" bestFit="1" customWidth="1"/>
    <col min="2" max="2" width="14.1640625" style="1" bestFit="1" customWidth="1"/>
    <col min="3" max="3" width="7" style="1" bestFit="1" customWidth="1"/>
    <col min="4" max="4" width="7" style="1" customWidth="1" outlineLevel="1"/>
    <col min="5" max="5" width="10.5" style="1" customWidth="1" outlineLevel="1"/>
    <col min="6" max="6" width="12.83203125" style="1" customWidth="1" outlineLevel="1"/>
    <col min="7" max="7" width="11.6640625" style="1" customWidth="1" outlineLevel="1"/>
    <col min="8" max="8" width="10.5" style="1" customWidth="1" outlineLevel="1"/>
    <col min="9" max="9" width="17.83203125" style="1" bestFit="1" customWidth="1"/>
    <col min="10" max="10" width="4.1640625" style="1" customWidth="1"/>
    <col min="11" max="11" width="26.33203125" style="1" bestFit="1" customWidth="1"/>
    <col min="12" max="12" width="5.83203125" style="1" customWidth="1" outlineLevel="1"/>
    <col min="13" max="13" width="7" style="1" customWidth="1" outlineLevel="1"/>
    <col min="14" max="14" width="8.1640625" style="1" customWidth="1" outlineLevel="1"/>
    <col min="15" max="15" width="9.33203125" style="1" customWidth="1" outlineLevel="1"/>
    <col min="16" max="16" width="12.83203125" style="1" customWidth="1" outlineLevel="1"/>
    <col min="17" max="17" width="17.83203125" style="1" bestFit="1" customWidth="1"/>
    <col min="18" max="18" width="4.1640625" style="1" customWidth="1"/>
    <col min="19" max="19" width="17.83203125" style="1" customWidth="1" outlineLevel="1"/>
    <col min="20" max="20" width="8.1640625" style="1" customWidth="1" outlineLevel="1"/>
    <col min="21" max="21" width="10.5" style="1" customWidth="1" outlineLevel="1"/>
    <col min="22" max="22" width="11.6640625" style="1" bestFit="1" customWidth="1"/>
    <col min="23" max="23" width="17.83203125" style="1" bestFit="1" customWidth="1"/>
    <col min="24" max="24" width="4.1640625" style="1" customWidth="1"/>
    <col min="25" max="25" width="9.33203125" style="1" bestFit="1" customWidth="1"/>
    <col min="26" max="26" width="10.5" style="1" bestFit="1" customWidth="1"/>
    <col min="27" max="27" width="8.1640625" style="1" bestFit="1" customWidth="1"/>
    <col min="28" max="16384" width="9.33203125" style="1"/>
  </cols>
  <sheetData>
    <row r="1" spans="1:27" x14ac:dyDescent="0.2">
      <c r="B1" s="26">
        <f ca="1">TODAY()</f>
        <v>42304</v>
      </c>
      <c r="M1" s="1">
        <v>3</v>
      </c>
    </row>
    <row r="2" spans="1:27" ht="33.75" x14ac:dyDescent="0.2">
      <c r="A2" s="34" t="s">
        <v>25</v>
      </c>
      <c r="B2" s="35" t="s">
        <v>26</v>
      </c>
      <c r="C2" s="35" t="s">
        <v>5</v>
      </c>
      <c r="D2" s="35" t="s">
        <v>20</v>
      </c>
      <c r="E2" s="35" t="s">
        <v>6</v>
      </c>
      <c r="F2" s="35" t="s">
        <v>7</v>
      </c>
      <c r="G2" s="35" t="s">
        <v>30</v>
      </c>
      <c r="H2" s="35" t="s">
        <v>8</v>
      </c>
      <c r="I2" s="36" t="s">
        <v>4</v>
      </c>
      <c r="J2" s="37"/>
      <c r="K2" s="34" t="s">
        <v>1</v>
      </c>
      <c r="L2" s="35" t="s">
        <v>29</v>
      </c>
      <c r="M2" s="35" t="s">
        <v>27</v>
      </c>
      <c r="N2" s="35" t="s">
        <v>28</v>
      </c>
      <c r="O2" s="35" t="s">
        <v>2</v>
      </c>
      <c r="P2" s="35" t="s">
        <v>3</v>
      </c>
      <c r="Q2" s="36" t="s">
        <v>0</v>
      </c>
      <c r="R2" s="37"/>
      <c r="S2" s="34" t="s">
        <v>18</v>
      </c>
      <c r="T2" s="34" t="s">
        <v>31</v>
      </c>
      <c r="U2" s="34" t="s">
        <v>32</v>
      </c>
      <c r="V2" s="34" t="s">
        <v>24</v>
      </c>
      <c r="W2" s="36" t="s">
        <v>9</v>
      </c>
      <c r="X2" s="37"/>
      <c r="Y2" s="34" t="s">
        <v>18</v>
      </c>
      <c r="Z2" s="35" t="s">
        <v>24</v>
      </c>
      <c r="AA2" s="36" t="s">
        <v>17</v>
      </c>
    </row>
    <row r="3" spans="1:27" x14ac:dyDescent="0.2">
      <c r="A3" s="15">
        <f t="shared" ref="A3:A10" ca="1" si="0">EDATE(B3,-240)</f>
        <v>35372</v>
      </c>
      <c r="B3" s="2">
        <f ca="1">EDATE($B$1,D3)+7</f>
        <v>42677</v>
      </c>
      <c r="C3" s="3" t="s">
        <v>12</v>
      </c>
      <c r="D3" s="27">
        <v>12</v>
      </c>
      <c r="E3" s="3" t="s">
        <v>13</v>
      </c>
      <c r="F3" s="3" t="s">
        <v>14</v>
      </c>
      <c r="G3" s="3" t="s">
        <v>14</v>
      </c>
      <c r="H3" s="3" t="s">
        <v>15</v>
      </c>
      <c r="I3" s="38" t="str">
        <f ca="1">_xll.qlSchedule(,A3,B3,C3,E3,F3,G3,H3)</f>
        <v>obj_0000a#0039</v>
      </c>
      <c r="K3" s="5" t="str">
        <f ca="1">"Bond "&amp;TEXT(O3,"0.00%")&amp;TEXT(B3," yyyy-mm-dd")</f>
        <v>Bond 5.25% 2016-11-03</v>
      </c>
      <c r="L3" s="3" t="s">
        <v>10</v>
      </c>
      <c r="M3" s="3">
        <f>$M$1</f>
        <v>3</v>
      </c>
      <c r="N3" s="3">
        <v>100</v>
      </c>
      <c r="O3" s="4">
        <v>5.2499999999999998E-2</v>
      </c>
      <c r="P3" s="3" t="s">
        <v>11</v>
      </c>
      <c r="Q3" s="38" t="str">
        <f ca="1">_xll.qlFixedRateBond(,K3,L3,M3,N3,I3,O3,P3,,,,"TARGET")</f>
        <v>obj_0001c#0039</v>
      </c>
      <c r="S3" s="5" t="b">
        <f ca="1">_xll.qlInstrumentSetPricingEngine(Q3,$S$20)</f>
        <v>1</v>
      </c>
      <c r="T3" s="22">
        <f ca="1">_xll.qlBondAccruedAmount(Q3)</f>
        <v>5.1916666666666602</v>
      </c>
      <c r="U3" s="22">
        <f ca="1">_xll.qlBondCleanPrice(Q3,S3)</f>
        <v>102.14521095499802</v>
      </c>
      <c r="V3" s="22">
        <v>100</v>
      </c>
      <c r="W3" s="16" t="str">
        <f ca="1">_xll.qlBondHelper(,V3,Q3)</f>
        <v>obj_0002a#0039</v>
      </c>
      <c r="Y3" s="5" t="b">
        <f ca="1">_xll.qlInstrumentSetPricingEngine(Q3,$W$20)</f>
        <v>1</v>
      </c>
      <c r="Z3" s="6">
        <f ca="1">_xll.qlBondCleanPrice(Q3,Y3)</f>
        <v>99.999999999996646</v>
      </c>
      <c r="AA3" s="7">
        <f t="shared" ref="AA3:AA10" ca="1" si="1">Z3-V3</f>
        <v>-3.3537617127876729E-12</v>
      </c>
    </row>
    <row r="4" spans="1:27" x14ac:dyDescent="0.2">
      <c r="A4" s="15">
        <f t="shared" ca="1" si="0"/>
        <v>35733</v>
      </c>
      <c r="B4" s="2">
        <f ca="1">EDATE($B$1,D4)+3</f>
        <v>43038</v>
      </c>
      <c r="C4" s="3" t="s">
        <v>22</v>
      </c>
      <c r="D4" s="27">
        <v>24</v>
      </c>
      <c r="E4" s="3" t="s">
        <v>13</v>
      </c>
      <c r="F4" s="3" t="s">
        <v>14</v>
      </c>
      <c r="G4" s="3" t="s">
        <v>14</v>
      </c>
      <c r="H4" s="3" t="s">
        <v>15</v>
      </c>
      <c r="I4" s="16" t="str">
        <f ca="1">_xll.qlSchedule(,A4,B4,C4,E4,F4,G4,H4)</f>
        <v>obj_00013#0039</v>
      </c>
      <c r="K4" s="5" t="str">
        <f t="shared" ref="K4:K10" ca="1" si="2">"Bond "&amp;TEXT(O4,"0.00%")&amp;TEXT(B4," yyyy-mm-dd")</f>
        <v>Bond 5.50% 2017-10-30</v>
      </c>
      <c r="L4" s="3" t="s">
        <v>10</v>
      </c>
      <c r="M4" s="3">
        <f t="shared" ref="M4:M10" si="3">$M$1</f>
        <v>3</v>
      </c>
      <c r="N4" s="3">
        <v>100</v>
      </c>
      <c r="O4" s="4">
        <v>5.5E-2</v>
      </c>
      <c r="P4" s="3" t="s">
        <v>11</v>
      </c>
      <c r="Q4" s="16" t="str">
        <f ca="1">_xll.qlFixedRateBond(,K4,L4,M4,N4,I4,O4,P4,,,,"TARGET")</f>
        <v>obj_00016#0039</v>
      </c>
      <c r="S4" s="5" t="b">
        <f ca="1">_xll.qlInstrumentSetPricingEngine(Q4,$S$20)</f>
        <v>1</v>
      </c>
      <c r="T4" s="22">
        <f ca="1">_xll.qlBondAccruedAmount(Q4)</f>
        <v>2.7347222222222189</v>
      </c>
      <c r="U4" s="22">
        <f ca="1">_xll.qlBondCleanPrice(Q4,S4)</f>
        <v>104.7709129020767</v>
      </c>
      <c r="V4" s="22">
        <v>100</v>
      </c>
      <c r="W4" s="16" t="str">
        <f ca="1">_xll.qlBondHelper(,V4,Q4)</f>
        <v>obj_00020#0039</v>
      </c>
      <c r="Y4" s="5" t="b">
        <f ca="1">_xll.qlInstrumentSetPricingEngine(Q4,$W$20)</f>
        <v>1</v>
      </c>
      <c r="Z4" s="6">
        <f ca="1">_xll.qlBondCleanPrice(Q4,Y4)</f>
        <v>100.00000000000001</v>
      </c>
      <c r="AA4" s="7">
        <f t="shared" ca="1" si="1"/>
        <v>0</v>
      </c>
    </row>
    <row r="5" spans="1:27" x14ac:dyDescent="0.2">
      <c r="A5" s="15">
        <f t="shared" ca="1" si="0"/>
        <v>36736</v>
      </c>
      <c r="B5" s="2">
        <f ca="1">EDATE($B$1,D5)-90</f>
        <v>44041</v>
      </c>
      <c r="C5" s="3" t="s">
        <v>23</v>
      </c>
      <c r="D5" s="27">
        <v>60</v>
      </c>
      <c r="E5" s="3" t="s">
        <v>13</v>
      </c>
      <c r="F5" s="3" t="s">
        <v>14</v>
      </c>
      <c r="G5" s="3" t="s">
        <v>14</v>
      </c>
      <c r="H5" s="3" t="s">
        <v>15</v>
      </c>
      <c r="I5" s="16" t="str">
        <f ca="1">_xll.qlSchedule(,A5,B5,C5,E5,F5,G5,H5)</f>
        <v>obj_00010#0039</v>
      </c>
      <c r="K5" s="5" t="str">
        <f t="shared" ca="1" si="2"/>
        <v>Bond 6.75% 2020-07-29</v>
      </c>
      <c r="L5" s="3" t="s">
        <v>10</v>
      </c>
      <c r="M5" s="3">
        <f t="shared" si="3"/>
        <v>3</v>
      </c>
      <c r="N5" s="3">
        <v>100</v>
      </c>
      <c r="O5" s="4">
        <v>6.7500000000000004E-2</v>
      </c>
      <c r="P5" s="3" t="s">
        <v>11</v>
      </c>
      <c r="Q5" s="16" t="str">
        <f ca="1">_xll.qlFixedRateBond(,K5,L5,M5,N5,I5,O5,P5,,,,"TARGET")</f>
        <v>obj_00011#0039</v>
      </c>
      <c r="S5" s="5" t="b">
        <f ca="1">_xll.qlInstrumentSetPricingEngine(Q5,$S$20)</f>
        <v>1</v>
      </c>
      <c r="T5" s="22">
        <f ca="1">_xll.qlBondAccruedAmount(Q5)</f>
        <v>0</v>
      </c>
      <c r="U5" s="22">
        <f ca="1">_xll.qlBondCleanPrice(Q5,S5)</f>
        <v>116.4782299336035</v>
      </c>
      <c r="V5" s="22">
        <v>100</v>
      </c>
      <c r="W5" s="16" t="str">
        <f ca="1">_xll.qlBondHelper(,V5,Q5)</f>
        <v>obj_00026#0039</v>
      </c>
      <c r="Y5" s="5" t="b">
        <f ca="1">_xll.qlInstrumentSetPricingEngine(Q5,$W$20)</f>
        <v>1</v>
      </c>
      <c r="Z5" s="6">
        <f ca="1">_xll.qlBondCleanPrice(Q5,Y5)</f>
        <v>100</v>
      </c>
      <c r="AA5" s="7">
        <f t="shared" ca="1" si="1"/>
        <v>0</v>
      </c>
    </row>
    <row r="6" spans="1:27" x14ac:dyDescent="0.2">
      <c r="A6" s="15">
        <f t="shared" ca="1" si="0"/>
        <v>37911</v>
      </c>
      <c r="B6" s="2">
        <f ca="1">EDATE($B$1,D6)+173</f>
        <v>45216</v>
      </c>
      <c r="C6" s="3" t="s">
        <v>12</v>
      </c>
      <c r="D6" s="27">
        <v>90</v>
      </c>
      <c r="E6" s="3" t="s">
        <v>13</v>
      </c>
      <c r="F6" s="3" t="s">
        <v>14</v>
      </c>
      <c r="G6" s="3" t="s">
        <v>14</v>
      </c>
      <c r="H6" s="3" t="s">
        <v>15</v>
      </c>
      <c r="I6" s="16" t="str">
        <f ca="1">_xll.qlSchedule(,A6,B6,C6,E6,F6,G6,H6)</f>
        <v>obj_0000b#0039</v>
      </c>
      <c r="K6" s="5" t="str">
        <f t="shared" ca="1" si="2"/>
        <v>Bond 4.50% 2023-10-17</v>
      </c>
      <c r="L6" s="3" t="s">
        <v>10</v>
      </c>
      <c r="M6" s="3">
        <f t="shared" si="3"/>
        <v>3</v>
      </c>
      <c r="N6" s="3">
        <v>100</v>
      </c>
      <c r="O6" s="4">
        <v>4.4999999999999998E-2</v>
      </c>
      <c r="P6" s="3" t="s">
        <v>11</v>
      </c>
      <c r="Q6" s="16" t="str">
        <f ca="1">_xll.qlFixedRateBond(,K6,L6,M6,N6,I6,O6,P6,,,,"TARGET")</f>
        <v>obj_0001b#0039</v>
      </c>
      <c r="S6" s="5" t="b">
        <f ca="1">_xll.qlInstrumentSetPricingEngine(Q6,$S$20)</f>
        <v>1</v>
      </c>
      <c r="T6" s="22">
        <f ca="1">_xll.qlBondAccruedAmount(Q6)</f>
        <v>0.12499999999999734</v>
      </c>
      <c r="U6" s="22">
        <f ca="1">_xll.qlBondCleanPrice(Q6,S6)</f>
        <v>110.13361284915911</v>
      </c>
      <c r="V6" s="22">
        <v>100</v>
      </c>
      <c r="W6" s="16" t="str">
        <f ca="1">_xll.qlBondHelper(,V6,Q6)</f>
        <v>obj_00027#0039</v>
      </c>
      <c r="Y6" s="5" t="b">
        <f ca="1">_xll.qlInstrumentSetPricingEngine(Q6,$W$20)</f>
        <v>1</v>
      </c>
      <c r="Z6" s="6">
        <f ca="1">_xll.qlBondCleanPrice(Q6,Y6)</f>
        <v>100</v>
      </c>
      <c r="AA6" s="7">
        <f t="shared" ca="1" si="1"/>
        <v>0</v>
      </c>
    </row>
    <row r="7" spans="1:27" x14ac:dyDescent="0.2">
      <c r="A7" s="15">
        <f t="shared" ca="1" si="0"/>
        <v>38700</v>
      </c>
      <c r="B7" s="2">
        <f ca="1">EDATE($B$1,D7)+48</f>
        <v>46005</v>
      </c>
      <c r="C7" s="3" t="s">
        <v>12</v>
      </c>
      <c r="D7" s="27">
        <v>120</v>
      </c>
      <c r="E7" s="3" t="s">
        <v>13</v>
      </c>
      <c r="F7" s="3" t="s">
        <v>14</v>
      </c>
      <c r="G7" s="3" t="s">
        <v>14</v>
      </c>
      <c r="H7" s="3" t="s">
        <v>15</v>
      </c>
      <c r="I7" s="16" t="str">
        <f ca="1">_xll.qlSchedule(,A7,B7,C7,E7,F7,G7,H7)</f>
        <v>obj_00014#0039</v>
      </c>
      <c r="K7" s="5" t="str">
        <f t="shared" ca="1" si="2"/>
        <v>Bond 3.00% 2025-12-14</v>
      </c>
      <c r="L7" s="3" t="s">
        <v>10</v>
      </c>
      <c r="M7" s="3">
        <f t="shared" si="3"/>
        <v>3</v>
      </c>
      <c r="N7" s="3">
        <v>100</v>
      </c>
      <c r="O7" s="4">
        <v>0.03</v>
      </c>
      <c r="P7" s="3" t="s">
        <v>11</v>
      </c>
      <c r="Q7" s="16" t="str">
        <f ca="1">_xll.qlFixedRateBond(,K7,L7,M7,N7,I7,O7,P7,,,,"TARGET")</f>
        <v>obj_00015#0039</v>
      </c>
      <c r="S7" s="5" t="b">
        <f ca="1">_xll.qlInstrumentSetPricingEngine(Q7,$S$20)</f>
        <v>1</v>
      </c>
      <c r="T7" s="22">
        <f ca="1">_xll.qlBondAccruedAmount(Q7)</f>
        <v>2.6166666666666676</v>
      </c>
      <c r="U7" s="22">
        <f ca="1">_xll.qlBondCleanPrice(Q7,S7)</f>
        <v>99.579038050779204</v>
      </c>
      <c r="V7" s="22">
        <v>100</v>
      </c>
      <c r="W7" s="16" t="str">
        <f ca="1">_xll.qlBondHelper(,V7,Q7)</f>
        <v>obj_00028#0039</v>
      </c>
      <c r="Y7" s="5" t="b">
        <f ca="1">_xll.qlInstrumentSetPricingEngine(Q7,$W$20)</f>
        <v>1</v>
      </c>
      <c r="Z7" s="6">
        <f ca="1">_xll.qlBondCleanPrice(Q7,Y7)</f>
        <v>99.99999999997668</v>
      </c>
      <c r="AA7" s="7">
        <f t="shared" ca="1" si="1"/>
        <v>-2.3320012587646488E-11</v>
      </c>
    </row>
    <row r="8" spans="1:27" x14ac:dyDescent="0.2">
      <c r="A8" s="15">
        <f t="shared" ca="1" si="0"/>
        <v>39934</v>
      </c>
      <c r="B8" s="2">
        <f ca="1">EDATE($B$1,D8)+278</f>
        <v>47239</v>
      </c>
      <c r="C8" s="3" t="s">
        <v>12</v>
      </c>
      <c r="D8" s="27">
        <v>153</v>
      </c>
      <c r="E8" s="3" t="s">
        <v>13</v>
      </c>
      <c r="F8" s="3" t="s">
        <v>14</v>
      </c>
      <c r="G8" s="3" t="s">
        <v>14</v>
      </c>
      <c r="H8" s="3" t="s">
        <v>15</v>
      </c>
      <c r="I8" s="16" t="str">
        <f ca="1">_xll.qlSchedule(,A8,B8,C8,E8,F8,G8,H8)</f>
        <v>obj_00017#0039</v>
      </c>
      <c r="K8" s="5" t="str">
        <f t="shared" ca="1" si="2"/>
        <v>Bond 3.75% 2029-05-01</v>
      </c>
      <c r="L8" s="3" t="s">
        <v>10</v>
      </c>
      <c r="M8" s="3">
        <f t="shared" si="3"/>
        <v>3</v>
      </c>
      <c r="N8" s="3">
        <v>100</v>
      </c>
      <c r="O8" s="4">
        <v>3.7499999999999999E-2</v>
      </c>
      <c r="P8" s="3" t="s">
        <v>11</v>
      </c>
      <c r="Q8" s="16" t="str">
        <f ca="1">_xll.qlFixedRateBond(,K8,L8,M8,N8,I8,O8,P8,,,,"TARGET")</f>
        <v>obj_00018#0039</v>
      </c>
      <c r="S8" s="5" t="b">
        <f ca="1">_xll.qlInstrumentSetPricingEngine(Q8,$S$20)</f>
        <v>1</v>
      </c>
      <c r="T8" s="22">
        <f ca="1">_xll.qlBondAccruedAmount(Q8)</f>
        <v>1.8229166666666741</v>
      </c>
      <c r="U8" s="22">
        <f ca="1">_xll.qlBondCleanPrice(Q8,S8)</f>
        <v>107.66971970033158</v>
      </c>
      <c r="V8" s="22">
        <v>100</v>
      </c>
      <c r="W8" s="16" t="str">
        <f ca="1">_xll.qlBondHelper(,V8,Q8)</f>
        <v>obj_00024#0039</v>
      </c>
      <c r="Y8" s="5" t="b">
        <f ca="1">_xll.qlInstrumentSetPricingEngine(Q8,$W$20)</f>
        <v>1</v>
      </c>
      <c r="Z8" s="6">
        <f ca="1">_xll.qlBondCleanPrice(Q8,Y8)</f>
        <v>99.999999999999986</v>
      </c>
      <c r="AA8" s="7">
        <f t="shared" ca="1" si="1"/>
        <v>0</v>
      </c>
    </row>
    <row r="9" spans="1:27" x14ac:dyDescent="0.2">
      <c r="A9" s="15">
        <f t="shared" ca="1" si="0"/>
        <v>40482</v>
      </c>
      <c r="B9" s="2">
        <f ca="1">EDATE($B$1,D9)-27</f>
        <v>47787</v>
      </c>
      <c r="C9" s="3" t="s">
        <v>12</v>
      </c>
      <c r="D9" s="27">
        <v>181</v>
      </c>
      <c r="E9" s="3" t="s">
        <v>13</v>
      </c>
      <c r="F9" s="3" t="s">
        <v>14</v>
      </c>
      <c r="G9" s="3" t="s">
        <v>14</v>
      </c>
      <c r="H9" s="3" t="s">
        <v>15</v>
      </c>
      <c r="I9" s="16" t="str">
        <f ca="1">_xll.qlSchedule(,A9,B9,C9,E9,F9,G9,H9)</f>
        <v>obj_00003#0039</v>
      </c>
      <c r="K9" s="5" t="str">
        <f t="shared" ca="1" si="2"/>
        <v>Bond 4.25% 2030-10-31</v>
      </c>
      <c r="L9" s="3" t="s">
        <v>10</v>
      </c>
      <c r="M9" s="3">
        <f t="shared" si="3"/>
        <v>3</v>
      </c>
      <c r="N9" s="3">
        <v>100</v>
      </c>
      <c r="O9" s="4">
        <v>4.2500000000000003E-2</v>
      </c>
      <c r="P9" s="3" t="s">
        <v>11</v>
      </c>
      <c r="Q9" s="16" t="str">
        <f ca="1">_xll.qlFixedRateBond(,K9,L9,M9,N9,I9,O9,P9,,,,"TARGET")</f>
        <v>obj_00019#0039</v>
      </c>
      <c r="S9" s="5" t="b">
        <f ca="1">_xll.qlInstrumentSetPricingEngine(Q9,$S$20)</f>
        <v>1</v>
      </c>
      <c r="T9" s="22">
        <f ca="1">_xll.qlBondAccruedAmount(Q9)</f>
        <v>4.238194444444443</v>
      </c>
      <c r="U9" s="22">
        <f ca="1">_xll.qlBondCleanPrice(Q9,S9)</f>
        <v>114.29457534383103</v>
      </c>
      <c r="V9" s="22">
        <v>100</v>
      </c>
      <c r="W9" s="16" t="str">
        <f ca="1">_xll.qlBondHelper(,V9,Q9)</f>
        <v>obj_00021#0039</v>
      </c>
      <c r="Y9" s="5" t="b">
        <f ca="1">_xll.qlInstrumentSetPricingEngine(Q9,$W$20)</f>
        <v>1</v>
      </c>
      <c r="Z9" s="6">
        <f ca="1">_xll.qlBondCleanPrice(Q9,Y9)</f>
        <v>99.999999999988148</v>
      </c>
      <c r="AA9" s="7">
        <f t="shared" ca="1" si="1"/>
        <v>-1.1851852832478471E-11</v>
      </c>
    </row>
    <row r="10" spans="1:27" x14ac:dyDescent="0.2">
      <c r="A10" s="17">
        <f t="shared" ca="1" si="0"/>
        <v>42154</v>
      </c>
      <c r="B10" s="18">
        <f ca="1">EDATE($B$1,D10)-120</f>
        <v>49459</v>
      </c>
      <c r="C10" s="19" t="s">
        <v>12</v>
      </c>
      <c r="D10" s="28">
        <v>239</v>
      </c>
      <c r="E10" s="19" t="s">
        <v>13</v>
      </c>
      <c r="F10" s="19" t="s">
        <v>14</v>
      </c>
      <c r="G10" s="19" t="s">
        <v>14</v>
      </c>
      <c r="H10" s="19" t="s">
        <v>15</v>
      </c>
      <c r="I10" s="20" t="str">
        <f ca="1">_xll.qlSchedule(,A10,B10,C10,E10,F10,G10,H10)</f>
        <v>obj_00002#0039</v>
      </c>
      <c r="K10" s="8" t="str">
        <f t="shared" ca="1" si="2"/>
        <v>Bond 5.00% 2035-05-30</v>
      </c>
      <c r="L10" s="19" t="s">
        <v>10</v>
      </c>
      <c r="M10" s="19">
        <f t="shared" si="3"/>
        <v>3</v>
      </c>
      <c r="N10" s="19">
        <v>100</v>
      </c>
      <c r="O10" s="21">
        <v>0.05</v>
      </c>
      <c r="P10" s="19" t="s">
        <v>11</v>
      </c>
      <c r="Q10" s="20" t="str">
        <f ca="1">_xll.qlFixedRateBond(,K10,L10,M10,N10,I10,O10,P10,,,,"TARGET")</f>
        <v>obj_00004#0039</v>
      </c>
      <c r="S10" s="8" t="b">
        <f ca="1">_xll.qlInstrumentSetPricingEngine(Q10,$S$20)</f>
        <v>1</v>
      </c>
      <c r="T10" s="23">
        <f ca="1">_xll.qlBondAccruedAmount(Q10)</f>
        <v>2.055555555555566</v>
      </c>
      <c r="U10" s="23">
        <f ca="1">_xll.qlBondCleanPrice(Q10,S10)</f>
        <v>128.46683487669088</v>
      </c>
      <c r="V10" s="23">
        <v>100</v>
      </c>
      <c r="W10" s="20" t="str">
        <f ca="1">_xll.qlBondHelper(,V10,Q10)</f>
        <v>obj_00006#0039</v>
      </c>
      <c r="Y10" s="8" t="b">
        <f ca="1">_xll.qlInstrumentSetPricingEngine(Q10,$W$20)</f>
        <v>1</v>
      </c>
      <c r="Z10" s="9">
        <f ca="1">_xll.qlBondCleanPrice(Q10,Y10)</f>
        <v>100.00000000001216</v>
      </c>
      <c r="AA10" s="10">
        <f t="shared" ca="1" si="1"/>
        <v>1.2164491636212915E-11</v>
      </c>
    </row>
    <row r="12" spans="1:27" x14ac:dyDescent="0.2">
      <c r="S12" s="1" t="s">
        <v>21</v>
      </c>
      <c r="W12" s="24" t="s">
        <v>19</v>
      </c>
    </row>
    <row r="13" spans="1:27" x14ac:dyDescent="0.2">
      <c r="S13" s="1" t="str">
        <f ca="1">_xll.qlFlatForward(,0,"target",3%,,,,,Q3:Q10)</f>
        <v>obj_00029#0039</v>
      </c>
      <c r="W13" s="25" t="str">
        <f ca="1">_xll.qlPiecewiseYieldCurve(,$M$1,"TARGET",W3:W10)</f>
        <v>obj_00047#0039</v>
      </c>
    </row>
    <row r="16" spans="1:27" x14ac:dyDescent="0.2">
      <c r="S16" s="30">
        <f ca="1">_xll.qlYieldTSDiscount(S13,V16)</f>
        <v>0.99975345505473567</v>
      </c>
      <c r="T16" s="29"/>
      <c r="V16" s="11">
        <f ca="1">_xll.qlBondSettlementDate(Q3)</f>
        <v>42306</v>
      </c>
      <c r="W16" s="12">
        <f ca="1">_xll.qlYieldTSDiscount(W13,V16)</f>
        <v>1</v>
      </c>
    </row>
    <row r="17" spans="19:23" x14ac:dyDescent="0.2">
      <c r="S17" s="31">
        <f ca="1">_xll.qlYieldTSDiscount(S13,V17)</f>
        <v>0.55534575148177068</v>
      </c>
      <c r="T17" s="29"/>
      <c r="V17" s="13">
        <f ca="1">MAX(B3:B10)</f>
        <v>49459</v>
      </c>
      <c r="W17" s="14">
        <f ca="1">_xll.qlYieldTSDiscount(W13,V17)</f>
        <v>0.3550834328996037</v>
      </c>
    </row>
    <row r="18" spans="19:23" x14ac:dyDescent="0.2">
      <c r="V18" s="58">
        <f ca="1">+V17-V16</f>
        <v>7153</v>
      </c>
    </row>
    <row r="19" spans="19:23" x14ac:dyDescent="0.2">
      <c r="S19" s="24" t="s">
        <v>16</v>
      </c>
      <c r="T19" s="32"/>
      <c r="V19" s="1">
        <f ca="1">+V18/365</f>
        <v>19.597260273972601</v>
      </c>
      <c r="W19" s="24" t="s">
        <v>16</v>
      </c>
    </row>
    <row r="20" spans="19:23" x14ac:dyDescent="0.2">
      <c r="S20" s="25" t="str">
        <f ca="1">_xll.qlBondEngine(,S13)</f>
        <v>obj_0002b#0039</v>
      </c>
      <c r="T20" s="33"/>
      <c r="V20" s="1">
        <f ca="1">-LN(W17)/V19</f>
        <v>5.2834043146472484E-2</v>
      </c>
      <c r="W20" s="25" t="str">
        <f ca="1">_xll.qlBondEngine(,W13,,W16)</f>
        <v>obj_00048#0039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J25" sqref="J25"/>
    </sheetView>
  </sheetViews>
  <sheetFormatPr defaultRowHeight="11.25" x14ac:dyDescent="0.2"/>
  <cols>
    <col min="1" max="1" width="22.33203125" customWidth="1"/>
    <col min="2" max="2" width="9.6640625" bestFit="1" customWidth="1"/>
    <col min="3" max="3" width="13.33203125" bestFit="1" customWidth="1"/>
    <col min="4" max="4" width="22.1640625" customWidth="1"/>
    <col min="5" max="5" width="27" bestFit="1" customWidth="1"/>
    <col min="6" max="6" width="34" customWidth="1"/>
  </cols>
  <sheetData>
    <row r="1" spans="1:6" ht="15.75" thickBot="1" x14ac:dyDescent="0.25">
      <c r="A1" s="77" t="s">
        <v>33</v>
      </c>
      <c r="B1" s="77" t="s">
        <v>34</v>
      </c>
      <c r="C1" s="77" t="s">
        <v>35</v>
      </c>
      <c r="D1" s="80" t="s">
        <v>36</v>
      </c>
      <c r="E1" s="39" t="s">
        <v>37</v>
      </c>
      <c r="F1" s="39" t="s">
        <v>38</v>
      </c>
    </row>
    <row r="2" spans="1:6" ht="15.75" thickBot="1" x14ac:dyDescent="0.25">
      <c r="A2" s="78"/>
      <c r="B2" s="78"/>
      <c r="C2" s="78"/>
      <c r="D2" s="81"/>
      <c r="E2" s="40" t="s">
        <v>39</v>
      </c>
      <c r="F2" s="40" t="s">
        <v>40</v>
      </c>
    </row>
    <row r="3" spans="1:6" ht="15" x14ac:dyDescent="0.2">
      <c r="A3" s="78"/>
      <c r="B3" s="78"/>
      <c r="C3" s="78"/>
      <c r="D3" s="81"/>
      <c r="E3" s="42" t="s">
        <v>41</v>
      </c>
      <c r="F3" s="42" t="s">
        <v>43</v>
      </c>
    </row>
    <row r="4" spans="1:6" ht="15.75" thickBot="1" x14ac:dyDescent="0.25">
      <c r="A4" s="79"/>
      <c r="B4" s="79"/>
      <c r="C4" s="79"/>
      <c r="D4" s="82"/>
      <c r="E4" s="43" t="s">
        <v>42</v>
      </c>
      <c r="F4" s="43" t="s">
        <v>44</v>
      </c>
    </row>
    <row r="5" spans="1:6" ht="15.75" thickBot="1" x14ac:dyDescent="0.25">
      <c r="A5" s="44" t="s">
        <v>23</v>
      </c>
      <c r="B5" s="45" t="s">
        <v>45</v>
      </c>
      <c r="C5" s="45" t="s">
        <v>46</v>
      </c>
      <c r="D5" s="45" t="s">
        <v>47</v>
      </c>
      <c r="E5" s="46" t="s">
        <v>48</v>
      </c>
      <c r="F5" s="45" t="s">
        <v>49</v>
      </c>
    </row>
    <row r="6" spans="1:6" ht="15.75" thickBot="1" x14ac:dyDescent="0.25">
      <c r="A6" s="44" t="s">
        <v>50</v>
      </c>
      <c r="B6" s="45" t="s">
        <v>45</v>
      </c>
      <c r="C6" s="45" t="s">
        <v>46</v>
      </c>
      <c r="D6" s="45" t="s">
        <v>47</v>
      </c>
      <c r="E6" s="46" t="s">
        <v>51</v>
      </c>
      <c r="F6" s="45" t="s">
        <v>52</v>
      </c>
    </row>
    <row r="7" spans="1:6" ht="15.75" thickBot="1" x14ac:dyDescent="0.25">
      <c r="A7" s="44" t="s">
        <v>12</v>
      </c>
      <c r="B7" s="45" t="s">
        <v>45</v>
      </c>
      <c r="C7" s="45" t="s">
        <v>46</v>
      </c>
      <c r="D7" s="45" t="s">
        <v>47</v>
      </c>
      <c r="E7" s="46" t="s">
        <v>53</v>
      </c>
      <c r="F7" s="45" t="s">
        <v>54</v>
      </c>
    </row>
    <row r="8" spans="1:6" ht="15.75" thickBot="1" x14ac:dyDescent="0.25">
      <c r="A8" s="44" t="s">
        <v>55</v>
      </c>
      <c r="B8" s="45" t="s">
        <v>56</v>
      </c>
      <c r="C8" s="45" t="s">
        <v>46</v>
      </c>
      <c r="D8" s="45" t="s">
        <v>57</v>
      </c>
      <c r="E8" s="46" t="s">
        <v>58</v>
      </c>
      <c r="F8" s="45" t="s">
        <v>59</v>
      </c>
    </row>
    <row r="9" spans="1:6" ht="15.75" thickBot="1" x14ac:dyDescent="0.25">
      <c r="A9" s="44" t="s">
        <v>60</v>
      </c>
      <c r="B9" s="45" t="s">
        <v>56</v>
      </c>
      <c r="C9" s="45" t="s">
        <v>46</v>
      </c>
      <c r="D9" s="45" t="s">
        <v>57</v>
      </c>
      <c r="E9" s="46" t="s">
        <v>61</v>
      </c>
      <c r="F9" s="45" t="s">
        <v>62</v>
      </c>
    </row>
    <row r="10" spans="1:6" ht="15.75" thickBot="1" x14ac:dyDescent="0.25">
      <c r="A10" s="44" t="s">
        <v>63</v>
      </c>
      <c r="B10" s="45" t="s">
        <v>56</v>
      </c>
      <c r="C10" s="45" t="s">
        <v>46</v>
      </c>
      <c r="D10" s="45" t="s">
        <v>57</v>
      </c>
      <c r="E10" s="46" t="s">
        <v>64</v>
      </c>
      <c r="F10" s="45" t="s">
        <v>65</v>
      </c>
    </row>
    <row r="11" spans="1:6" ht="15.75" thickBot="1" x14ac:dyDescent="0.25">
      <c r="A11" s="44" t="s">
        <v>66</v>
      </c>
      <c r="B11" s="45" t="s">
        <v>56</v>
      </c>
      <c r="C11" s="45" t="s">
        <v>46</v>
      </c>
      <c r="D11" s="45" t="s">
        <v>57</v>
      </c>
      <c r="E11" s="46" t="s">
        <v>67</v>
      </c>
      <c r="F11" s="45" t="s">
        <v>68</v>
      </c>
    </row>
    <row r="12" spans="1:6" ht="15.75" thickBot="1" x14ac:dyDescent="0.25">
      <c r="A12" s="44" t="s">
        <v>69</v>
      </c>
      <c r="B12" s="45" t="s">
        <v>56</v>
      </c>
      <c r="C12" s="45" t="s">
        <v>46</v>
      </c>
      <c r="D12" s="45" t="s">
        <v>57</v>
      </c>
      <c r="E12" s="46" t="s">
        <v>70</v>
      </c>
      <c r="F12" s="45" t="s">
        <v>71</v>
      </c>
    </row>
    <row r="13" spans="1:6" ht="15.75" thickBot="1" x14ac:dyDescent="0.25">
      <c r="A13" s="44" t="s">
        <v>72</v>
      </c>
      <c r="B13" s="45" t="s">
        <v>56</v>
      </c>
      <c r="C13" s="45" t="s">
        <v>46</v>
      </c>
      <c r="D13" s="45" t="s">
        <v>57</v>
      </c>
      <c r="E13" s="46" t="s">
        <v>73</v>
      </c>
      <c r="F13" s="45" t="s">
        <v>74</v>
      </c>
    </row>
    <row r="14" spans="1:6" ht="15.75" thickBot="1" x14ac:dyDescent="0.25">
      <c r="A14" s="44" t="s">
        <v>75</v>
      </c>
      <c r="B14" s="45" t="s">
        <v>56</v>
      </c>
      <c r="C14" s="45" t="s">
        <v>46</v>
      </c>
      <c r="D14" s="45" t="s">
        <v>57</v>
      </c>
      <c r="E14" s="46" t="s">
        <v>76</v>
      </c>
      <c r="F14" s="45" t="s">
        <v>77</v>
      </c>
    </row>
    <row r="15" spans="1:6" ht="15.75" thickBot="1" x14ac:dyDescent="0.25">
      <c r="A15" s="44" t="s">
        <v>78</v>
      </c>
      <c r="B15" s="45" t="s">
        <v>56</v>
      </c>
      <c r="C15" s="45" t="s">
        <v>46</v>
      </c>
      <c r="D15" s="45" t="s">
        <v>57</v>
      </c>
      <c r="E15" s="46" t="s">
        <v>79</v>
      </c>
      <c r="F15" s="45" t="s">
        <v>80</v>
      </c>
    </row>
    <row r="16" spans="1:6" ht="15.75" thickBot="1" x14ac:dyDescent="0.25">
      <c r="A16" s="44" t="s">
        <v>81</v>
      </c>
      <c r="B16" s="45" t="s">
        <v>56</v>
      </c>
      <c r="C16" s="45" t="s">
        <v>46</v>
      </c>
      <c r="D16" s="45" t="s">
        <v>57</v>
      </c>
      <c r="E16" s="46" t="s">
        <v>82</v>
      </c>
      <c r="F16" s="45" t="s">
        <v>83</v>
      </c>
    </row>
    <row r="17" spans="1:6" ht="15.75" thickBot="1" x14ac:dyDescent="0.25">
      <c r="A17" s="44" t="s">
        <v>84</v>
      </c>
      <c r="B17" s="45" t="s">
        <v>56</v>
      </c>
      <c r="C17" s="45" t="s">
        <v>46</v>
      </c>
      <c r="D17" s="45" t="s">
        <v>57</v>
      </c>
      <c r="E17" s="46" t="s">
        <v>85</v>
      </c>
      <c r="F17" s="45" t="s">
        <v>86</v>
      </c>
    </row>
    <row r="18" spans="1:6" ht="15.75" thickBot="1" x14ac:dyDescent="0.25">
      <c r="A18" s="44" t="s">
        <v>87</v>
      </c>
      <c r="B18" s="45" t="s">
        <v>56</v>
      </c>
      <c r="C18" s="45" t="s">
        <v>46</v>
      </c>
      <c r="D18" s="45" t="s">
        <v>57</v>
      </c>
      <c r="E18" s="46" t="s">
        <v>88</v>
      </c>
      <c r="F18" s="45" t="s">
        <v>89</v>
      </c>
    </row>
    <row r="19" spans="1:6" ht="15.75" thickBot="1" x14ac:dyDescent="0.25">
      <c r="A19" s="44" t="s">
        <v>90</v>
      </c>
      <c r="B19" s="45" t="s">
        <v>56</v>
      </c>
      <c r="C19" s="45" t="s">
        <v>46</v>
      </c>
      <c r="D19" s="45" t="s">
        <v>57</v>
      </c>
      <c r="E19" s="46" t="s">
        <v>91</v>
      </c>
      <c r="F19" s="45" t="s">
        <v>92</v>
      </c>
    </row>
  </sheetData>
  <mergeCells count="4">
    <mergeCell ref="A1:A4"/>
    <mergeCell ref="B1:B4"/>
    <mergeCell ref="C1:C4"/>
    <mergeCell ref="D1:D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8"/>
  <sheetViews>
    <sheetView topLeftCell="J1" workbookViewId="0">
      <selection activeCell="AA1" sqref="AA1"/>
    </sheetView>
  </sheetViews>
  <sheetFormatPr defaultColWidth="72.83203125" defaultRowHeight="11.25" x14ac:dyDescent="0.2"/>
  <cols>
    <col min="3" max="3" width="19.5" customWidth="1"/>
    <col min="4" max="4" width="12" bestFit="1" customWidth="1"/>
    <col min="5" max="5" width="14.1640625" bestFit="1" customWidth="1"/>
    <col min="6" max="6" width="21.5" customWidth="1"/>
    <col min="7" max="7" width="8.33203125" bestFit="1" customWidth="1"/>
    <col min="8" max="8" width="10.1640625" bestFit="1" customWidth="1"/>
    <col min="9" max="9" width="13" bestFit="1" customWidth="1"/>
    <col min="10" max="10" width="8" bestFit="1" customWidth="1"/>
    <col min="11" max="11" width="11" bestFit="1" customWidth="1"/>
    <col min="12" max="12" width="9.5" bestFit="1" customWidth="1"/>
    <col min="13" max="13" width="15.33203125" bestFit="1" customWidth="1"/>
    <col min="14" max="14" width="11.6640625" bestFit="1" customWidth="1"/>
    <col min="15" max="15" width="4.83203125" bestFit="1" customWidth="1"/>
    <col min="16" max="16" width="19.83203125" bestFit="1" customWidth="1"/>
    <col min="17" max="17" width="14.6640625" bestFit="1" customWidth="1"/>
    <col min="18" max="18" width="10.1640625" bestFit="1" customWidth="1"/>
    <col min="19" max="19" width="8.6640625" bestFit="1" customWidth="1"/>
    <col min="20" max="20" width="13.83203125" bestFit="1" customWidth="1"/>
    <col min="21" max="21" width="11.33203125" bestFit="1" customWidth="1"/>
    <col min="22" max="22" width="10.1640625" bestFit="1" customWidth="1"/>
    <col min="23" max="23" width="11.1640625" bestFit="1" customWidth="1"/>
    <col min="24" max="24" width="10.6640625" bestFit="1" customWidth="1"/>
    <col min="25" max="25" width="11.5" bestFit="1" customWidth="1"/>
    <col min="26" max="26" width="10.5" bestFit="1" customWidth="1"/>
    <col min="27" max="27" width="10.1640625" bestFit="1" customWidth="1"/>
    <col min="28" max="28" width="15.33203125" bestFit="1" customWidth="1"/>
    <col min="29" max="29" width="59.5" customWidth="1"/>
    <col min="30" max="30" width="24.33203125" bestFit="1" customWidth="1"/>
    <col min="31" max="31" width="10.6640625" bestFit="1" customWidth="1"/>
    <col min="32" max="32" width="19.83203125" bestFit="1" customWidth="1"/>
    <col min="33" max="34" width="12.83203125" bestFit="1" customWidth="1"/>
    <col min="35" max="35" width="14.1640625" bestFit="1" customWidth="1"/>
    <col min="36" max="36" width="7" bestFit="1" customWidth="1"/>
  </cols>
  <sheetData>
    <row r="1" spans="1:36" x14ac:dyDescent="0.2">
      <c r="A1" t="b">
        <f>_xll.qlSettingsSetEvaluationDate(B1)</f>
        <v>1</v>
      </c>
      <c r="B1" s="55">
        <f>DATE(2015,10,26)</f>
        <v>42303</v>
      </c>
      <c r="C1">
        <v>1</v>
      </c>
      <c r="P1" s="66"/>
      <c r="T1" s="65">
        <v>2</v>
      </c>
      <c r="U1" s="65">
        <v>100</v>
      </c>
      <c r="Z1">
        <v>100</v>
      </c>
      <c r="AA1">
        <v>40</v>
      </c>
      <c r="AC1" t="str">
        <f>_xll.ohRangeRetrieveError(AC3)</f>
        <v/>
      </c>
      <c r="AD1" s="68" t="s">
        <v>191</v>
      </c>
    </row>
    <row r="2" spans="1:36" ht="15.75" thickBot="1" x14ac:dyDescent="0.25">
      <c r="A2" s="47" t="s">
        <v>93</v>
      </c>
      <c r="B2" s="54" t="s">
        <v>139</v>
      </c>
      <c r="C2" s="59" t="s">
        <v>93</v>
      </c>
      <c r="D2" s="61" t="s">
        <v>117</v>
      </c>
      <c r="E2" s="63" t="s">
        <v>119</v>
      </c>
      <c r="F2" s="61" t="s">
        <v>5</v>
      </c>
      <c r="G2" s="61" t="s">
        <v>6</v>
      </c>
      <c r="H2" s="61" t="s">
        <v>7</v>
      </c>
      <c r="I2" s="61" t="s">
        <v>124</v>
      </c>
      <c r="J2" s="61" t="s">
        <v>8</v>
      </c>
      <c r="K2" s="61" t="s">
        <v>127</v>
      </c>
      <c r="L2" s="61" t="s">
        <v>129</v>
      </c>
      <c r="M2" s="61" t="s">
        <v>131</v>
      </c>
      <c r="N2" s="61" t="s">
        <v>142</v>
      </c>
      <c r="O2" s="61" t="s">
        <v>143</v>
      </c>
      <c r="P2" s="54" t="s">
        <v>179</v>
      </c>
      <c r="Q2" t="s">
        <v>115</v>
      </c>
      <c r="R2" t="s">
        <v>1</v>
      </c>
      <c r="S2" t="s">
        <v>161</v>
      </c>
      <c r="T2" t="s">
        <v>163</v>
      </c>
      <c r="U2" t="s">
        <v>165</v>
      </c>
      <c r="V2" t="s">
        <v>4</v>
      </c>
      <c r="W2" s="65" t="s">
        <v>2</v>
      </c>
      <c r="X2" s="65" t="s">
        <v>3</v>
      </c>
      <c r="Y2" t="s">
        <v>170</v>
      </c>
      <c r="Z2" t="s">
        <v>172</v>
      </c>
      <c r="AA2" t="s">
        <v>174</v>
      </c>
      <c r="AB2" s="65" t="s">
        <v>176</v>
      </c>
      <c r="AC2" s="67" t="s">
        <v>191</v>
      </c>
      <c r="AD2" s="66" t="s">
        <v>115</v>
      </c>
      <c r="AE2" s="66" t="s">
        <v>56</v>
      </c>
      <c r="AF2" s="66" t="s">
        <v>187</v>
      </c>
      <c r="AG2" s="66" t="s">
        <v>189</v>
      </c>
      <c r="AH2" s="34" t="s">
        <v>18</v>
      </c>
      <c r="AI2" s="35" t="s">
        <v>24</v>
      </c>
      <c r="AJ2" s="36" t="s">
        <v>17</v>
      </c>
    </row>
    <row r="3" spans="1:36" ht="12" thickBot="1" x14ac:dyDescent="0.25">
      <c r="A3" s="48"/>
      <c r="B3" s="56">
        <f>+B1</f>
        <v>42303</v>
      </c>
      <c r="C3" s="60" t="str">
        <f t="array" ref="C3">_xll.qlSchedule(N3,D3,E3,F3,G3,H3,I3,J3,K3,L3,M3)</f>
        <v>BOT80D#0017</v>
      </c>
      <c r="D3" s="62">
        <f>+B3</f>
        <v>42303</v>
      </c>
      <c r="E3" s="64">
        <f>DATE(2016,1,14)</f>
        <v>42383</v>
      </c>
      <c r="F3" s="61" t="str">
        <f>(E3-B3)&amp;"D"</f>
        <v>80D</v>
      </c>
      <c r="G3" s="61" t="s">
        <v>140</v>
      </c>
      <c r="H3" s="61" t="s">
        <v>141</v>
      </c>
      <c r="I3" s="61" t="str">
        <f>+H3</f>
        <v>Unadjusted</v>
      </c>
      <c r="J3" s="61" t="s">
        <v>15</v>
      </c>
      <c r="K3" s="61" t="b">
        <v>0</v>
      </c>
      <c r="L3" s="62"/>
      <c r="M3" s="62"/>
      <c r="N3" s="61" t="str">
        <f>O3&amp;F3</f>
        <v>BOT80D</v>
      </c>
      <c r="O3" s="61" t="s">
        <v>144</v>
      </c>
      <c r="P3" s="54" t="str">
        <f>_xll.qlFixedRateBond(Q3,R3,S3,T3,U3,V3,W3,X3,Y3,Z3,AA3,AB3)</f>
        <v>bondBOT80D#0022</v>
      </c>
      <c r="Q3" t="str">
        <f>"bond"&amp;N3</f>
        <v>bondBOT80D</v>
      </c>
      <c r="R3" t="str">
        <f>+Q3</f>
        <v>bondBOT80D</v>
      </c>
      <c r="S3" s="54" t="s">
        <v>178</v>
      </c>
      <c r="T3">
        <f>+T1</f>
        <v>2</v>
      </c>
      <c r="U3">
        <f>+U1</f>
        <v>100</v>
      </c>
      <c r="V3" t="str">
        <f>+C3</f>
        <v>BOT80D#0017</v>
      </c>
      <c r="W3" s="98">
        <f>VLOOKUP(E3,DAti_MF!D1:Z2,23,FALSE)/100</f>
        <v>0</v>
      </c>
      <c r="X3" s="65" t="s">
        <v>47</v>
      </c>
      <c r="Y3" s="54" t="s">
        <v>141</v>
      </c>
      <c r="Z3">
        <f>+Z1</f>
        <v>100</v>
      </c>
      <c r="AA3" s="55">
        <f>DATE(YEAR(E3)-$AA$1,MONTH(E3),DAY(E3))</f>
        <v>27773</v>
      </c>
      <c r="AB3" s="65" t="s">
        <v>140</v>
      </c>
      <c r="AC3" s="57" t="str">
        <f>_xll.qlBondHelper(AD3,AE3,AF3,AG3)</f>
        <v>BondHelperbondBOT80D#0024</v>
      </c>
      <c r="AD3" t="str">
        <f>+$AD$1&amp;Q3</f>
        <v>BondHelperbondBOT80D</v>
      </c>
      <c r="AE3" s="94">
        <f>VLOOKUP(E3,DAti_MF!$D$2:$G$16,4,FALSE)</f>
        <v>100.0155</v>
      </c>
      <c r="AF3" t="str">
        <f>+P3</f>
        <v>bondBOT80D#0022</v>
      </c>
      <c r="AG3" s="54" t="b">
        <v>1</v>
      </c>
      <c r="AH3" s="5" t="b">
        <f>_xll.qlInstrumentSetPricingEngine(P3,BondCurve!$I$21)</f>
        <v>1</v>
      </c>
      <c r="AI3" s="6">
        <f>_xll.qlBondCleanPrice(P3,AH3)</f>
        <v>100.01550000000002</v>
      </c>
      <c r="AJ3" s="74">
        <f>+AI3-AE3</f>
        <v>0</v>
      </c>
    </row>
    <row r="4" spans="1:36" ht="13.5" x14ac:dyDescent="0.2">
      <c r="A4" s="49" t="s">
        <v>94</v>
      </c>
      <c r="B4" s="55">
        <f>+B3</f>
        <v>42303</v>
      </c>
      <c r="C4" s="60" t="str">
        <f t="array" ref="C4">_xll.qlSchedule(N4,D4,E4,F4,G4,H4,I4,J4,K4,L4,M4)</f>
        <v>BOT157D#0017</v>
      </c>
      <c r="D4" s="62">
        <f>+B4</f>
        <v>42303</v>
      </c>
      <c r="E4" s="64">
        <f>DATE(2016,3,31)</f>
        <v>42460</v>
      </c>
      <c r="F4" s="61" t="str">
        <f>(E4-B4)&amp;"D"</f>
        <v>157D</v>
      </c>
      <c r="G4" s="61" t="s">
        <v>140</v>
      </c>
      <c r="H4" s="61" t="s">
        <v>141</v>
      </c>
      <c r="I4" s="61" t="str">
        <f>+H4</f>
        <v>Unadjusted</v>
      </c>
      <c r="J4" s="61" t="s">
        <v>15</v>
      </c>
      <c r="K4" s="61" t="b">
        <v>0</v>
      </c>
      <c r="L4" s="62"/>
      <c r="M4" s="62"/>
      <c r="N4" s="61" t="str">
        <f t="shared" ref="N4:N6" si="0">O4&amp;F4</f>
        <v>BOT157D</v>
      </c>
      <c r="O4" s="61" t="s">
        <v>144</v>
      </c>
      <c r="P4" s="54" t="str">
        <f>_xll.qlFixedRateBond(Q4,R4,S4,T4,U4,V4,W4,X4,Y4,Z4,AA4,AB4)</f>
        <v>bondBOT157D#0020</v>
      </c>
      <c r="Q4" t="str">
        <f t="shared" ref="Q4:Q17" si="1">"bond"&amp;N4</f>
        <v>bondBOT157D</v>
      </c>
      <c r="R4" t="str">
        <f t="shared" ref="R4:R17" si="2">+Q4</f>
        <v>bondBOT157D</v>
      </c>
      <c r="S4" s="54" t="s">
        <v>178</v>
      </c>
      <c r="T4">
        <f>+T3</f>
        <v>2</v>
      </c>
      <c r="U4">
        <f>+U3</f>
        <v>100</v>
      </c>
      <c r="V4" t="str">
        <f t="shared" ref="V4:V17" si="3">+C4</f>
        <v>BOT157D#0017</v>
      </c>
      <c r="W4" s="98">
        <f>VLOOKUP(E4,DAti_MF!D2:Z3,23,FALSE)/100</f>
        <v>0</v>
      </c>
      <c r="X4" s="65" t="str">
        <f>+X3</f>
        <v>act/360</v>
      </c>
      <c r="Y4" s="54" t="s">
        <v>141</v>
      </c>
      <c r="Z4">
        <f>+Z3</f>
        <v>100</v>
      </c>
      <c r="AA4" s="55">
        <f t="shared" ref="AA4:AA17" si="4">DATE(YEAR(E4)-$AA$1,MONTH(E4),DAY(E4))</f>
        <v>27850</v>
      </c>
      <c r="AB4" s="65" t="s">
        <v>140</v>
      </c>
      <c r="AC4" s="57" t="str">
        <f>_xll.qlBondHelper(AD4,AE4,AF4,AG4)</f>
        <v>BondHelperbondBOT157D#0021</v>
      </c>
      <c r="AD4" t="str">
        <f t="shared" ref="AD4:AD17" si="5">+$AD$1&amp;Q4</f>
        <v>BondHelperbondBOT157D</v>
      </c>
      <c r="AE4" s="94">
        <f>VLOOKUP(E4,DAti_MF!$D$2:$G$16,4,FALSE)</f>
        <v>100.02549999999999</v>
      </c>
      <c r="AF4" t="str">
        <f t="shared" ref="AF4:AF17" si="6">+P4</f>
        <v>bondBOT157D#0020</v>
      </c>
      <c r="AG4" s="54" t="b">
        <v>1</v>
      </c>
      <c r="AH4" s="5" t="b">
        <f>_xll.qlInstrumentSetPricingEngine(P4,BondCurve!$I$21)</f>
        <v>1</v>
      </c>
      <c r="AI4" s="6">
        <f>_xll.qlBondCleanPrice(P4,AH4)</f>
        <v>100.02549999999999</v>
      </c>
    </row>
    <row r="5" spans="1:36" ht="13.5" x14ac:dyDescent="0.2">
      <c r="A5" s="50" t="s">
        <v>95</v>
      </c>
      <c r="B5" s="55">
        <f>+B4</f>
        <v>42303</v>
      </c>
      <c r="C5" s="60" t="str">
        <f t="array" ref="C5">_xll.qlSchedule(N5,D5,E5,F5,G5,H5,I5,J5,K5,L5,M5)</f>
        <v>BOT354D#0017</v>
      </c>
      <c r="D5" s="62">
        <f>+B5</f>
        <v>42303</v>
      </c>
      <c r="E5" s="64">
        <f>DATE(2016,10,14)</f>
        <v>42657</v>
      </c>
      <c r="F5" s="61" t="str">
        <f t="shared" ref="F5" si="7">(E5-B5)&amp;"D"</f>
        <v>354D</v>
      </c>
      <c r="G5" s="61" t="s">
        <v>140</v>
      </c>
      <c r="H5" s="61" t="s">
        <v>141</v>
      </c>
      <c r="I5" s="61" t="str">
        <f t="shared" ref="I5:I17" si="8">+H5</f>
        <v>Unadjusted</v>
      </c>
      <c r="J5" s="61" t="s">
        <v>15</v>
      </c>
      <c r="K5" s="61" t="b">
        <v>0</v>
      </c>
      <c r="L5" s="62"/>
      <c r="M5" s="62"/>
      <c r="N5" s="61" t="str">
        <f t="shared" si="0"/>
        <v>BOT354D</v>
      </c>
      <c r="O5" s="61" t="s">
        <v>144</v>
      </c>
      <c r="P5" s="54" t="str">
        <f>_xll.qlFixedRateBond(Q5,R5,S5,T5,U5,V5,W5,X5,Y5,Z5,AA5,AB5)</f>
        <v>bondBOT354D#0020</v>
      </c>
      <c r="Q5" t="str">
        <f t="shared" si="1"/>
        <v>bondBOT354D</v>
      </c>
      <c r="R5" t="str">
        <f t="shared" si="2"/>
        <v>bondBOT354D</v>
      </c>
      <c r="S5" s="54" t="s">
        <v>178</v>
      </c>
      <c r="T5">
        <f t="shared" ref="T5:T17" si="9">+T4</f>
        <v>2</v>
      </c>
      <c r="U5">
        <f t="shared" ref="U5:U17" si="10">+U4</f>
        <v>100</v>
      </c>
      <c r="V5" t="str">
        <f t="shared" si="3"/>
        <v>BOT354D#0017</v>
      </c>
      <c r="W5" s="98">
        <f>VLOOKUP(E5,DAti_MF!D3:Z4,23,FALSE)/100</f>
        <v>0</v>
      </c>
      <c r="X5" s="65" t="str">
        <f>+X4</f>
        <v>act/360</v>
      </c>
      <c r="Y5" s="54" t="s">
        <v>141</v>
      </c>
      <c r="Z5">
        <f t="shared" ref="Z5:Z17" si="11">+Z3</f>
        <v>100</v>
      </c>
      <c r="AA5" s="55">
        <f t="shared" si="4"/>
        <v>28047</v>
      </c>
      <c r="AB5" s="65" t="s">
        <v>140</v>
      </c>
      <c r="AC5" s="57" t="str">
        <f>_xll.qlBondHelper(AD5,AE5,AF5,AG5)</f>
        <v>BondHelperbondBOT354D#0021</v>
      </c>
      <c r="AD5" t="str">
        <f t="shared" si="5"/>
        <v>BondHelperbondBOT354D</v>
      </c>
      <c r="AE5" s="94">
        <f>VLOOKUP(E5,DAti_MF!$D$2:$G$16,4,FALSE)</f>
        <v>100.0275</v>
      </c>
      <c r="AF5" t="str">
        <f t="shared" si="6"/>
        <v>bondBOT354D#0020</v>
      </c>
      <c r="AG5" s="54" t="b">
        <v>1</v>
      </c>
      <c r="AH5" s="5" t="b">
        <f>_xll.qlInstrumentSetPricingEngine(P5,BondCurve!$I$21)</f>
        <v>1</v>
      </c>
      <c r="AI5" s="6">
        <f>_xll.qlBondCleanPrice(P5,AH5)</f>
        <v>100.0275</v>
      </c>
    </row>
    <row r="6" spans="1:36" ht="13.5" x14ac:dyDescent="0.2">
      <c r="A6" s="49" t="s">
        <v>96</v>
      </c>
      <c r="B6" s="55">
        <f>+B5</f>
        <v>42303</v>
      </c>
      <c r="C6" s="60" t="str">
        <f t="array" ref="C6">_xll.qlSchedule(N6,D6,E6,F6,G6,H6,I6,J6,K6,L6,M6)</f>
        <v>BTP567D#0017</v>
      </c>
      <c r="D6" s="62">
        <f>+B6</f>
        <v>42303</v>
      </c>
      <c r="E6" s="64">
        <f>DATE(2017,5,15)</f>
        <v>42870</v>
      </c>
      <c r="F6" s="61" t="str">
        <f t="shared" ref="F6" si="12">(E6-B6)&amp;"D"</f>
        <v>567D</v>
      </c>
      <c r="G6" s="61" t="s">
        <v>140</v>
      </c>
      <c r="H6" s="61" t="s">
        <v>141</v>
      </c>
      <c r="I6" s="61" t="str">
        <f t="shared" si="8"/>
        <v>Unadjusted</v>
      </c>
      <c r="J6" s="61" t="s">
        <v>15</v>
      </c>
      <c r="K6" s="61" t="b">
        <v>0</v>
      </c>
      <c r="L6" s="62"/>
      <c r="M6" s="62"/>
      <c r="N6" s="61" t="str">
        <f t="shared" si="0"/>
        <v>BTP567D</v>
      </c>
      <c r="O6" s="61" t="s">
        <v>145</v>
      </c>
      <c r="P6" s="54" t="str">
        <f>_xll.qlFixedRateBond(Q6,R6,S6,T6,U6,V6,W6,X6,Y6,Z6,AA6,AB6)</f>
        <v>bondBTP567D#0020</v>
      </c>
      <c r="Q6" t="str">
        <f t="shared" si="1"/>
        <v>bondBTP567D</v>
      </c>
      <c r="R6" t="str">
        <f t="shared" si="2"/>
        <v>bondBTP567D</v>
      </c>
      <c r="S6" s="54" t="s">
        <v>178</v>
      </c>
      <c r="T6">
        <f t="shared" si="9"/>
        <v>2</v>
      </c>
      <c r="U6">
        <f t="shared" si="10"/>
        <v>100</v>
      </c>
      <c r="V6" t="str">
        <f t="shared" si="3"/>
        <v>BTP567D#0017</v>
      </c>
      <c r="W6" s="98">
        <f>VLOOKUP(E6,DAti_MF!D4:Z5,23,FALSE)/100</f>
        <v>1.15E-2</v>
      </c>
      <c r="X6" s="65" t="s">
        <v>57</v>
      </c>
      <c r="Y6" s="54" t="s">
        <v>141</v>
      </c>
      <c r="Z6">
        <f t="shared" si="11"/>
        <v>100</v>
      </c>
      <c r="AA6" s="55">
        <f t="shared" si="4"/>
        <v>28260</v>
      </c>
      <c r="AB6" s="65" t="s">
        <v>140</v>
      </c>
      <c r="AC6" s="57" t="str">
        <f>_xll.qlBondHelper(AD6,AE6,AF6,AG6)</f>
        <v>BondHelperbondBTP567D#0021</v>
      </c>
      <c r="AD6" t="str">
        <f t="shared" si="5"/>
        <v>BondHelperbondBTP567D</v>
      </c>
      <c r="AE6" s="94">
        <f>VLOOKUP(E6,DAti_MF!$D$2:$G$16,4,FALSE)</f>
        <v>101.745</v>
      </c>
      <c r="AF6" t="str">
        <f t="shared" si="6"/>
        <v>bondBTP567D#0020</v>
      </c>
      <c r="AG6" s="54" t="b">
        <v>1</v>
      </c>
      <c r="AH6" s="5" t="b">
        <f>_xll.qlInstrumentSetPricingEngine(P6,BondCurve!$I$21)</f>
        <v>1</v>
      </c>
      <c r="AI6" s="6">
        <f>_xll.qlBondCleanPrice(P6,AH6)</f>
        <v>101.745</v>
      </c>
    </row>
    <row r="7" spans="1:36" ht="13.5" x14ac:dyDescent="0.2">
      <c r="A7" s="49" t="s">
        <v>97</v>
      </c>
      <c r="B7" s="55">
        <f t="shared" ref="B7:B17" si="13">+B6</f>
        <v>42303</v>
      </c>
      <c r="C7" s="60" t="str">
        <f t="array" ref="C7">_xll.qlSchedule(N7,D7,E7,F7,G7,H7,I7,J7,K7,L7,M7)</f>
        <v>BTP932D#0017</v>
      </c>
      <c r="D7" s="62">
        <f t="shared" ref="D7:D17" si="14">+B7</f>
        <v>42303</v>
      </c>
      <c r="E7" s="64">
        <f>DATE(2018,5,15)</f>
        <v>43235</v>
      </c>
      <c r="F7" s="61" t="str">
        <f t="shared" ref="F7:F17" si="15">(E7-B7)&amp;"D"</f>
        <v>932D</v>
      </c>
      <c r="G7" s="61" t="s">
        <v>140</v>
      </c>
      <c r="H7" s="61" t="s">
        <v>141</v>
      </c>
      <c r="I7" s="61" t="str">
        <f t="shared" si="8"/>
        <v>Unadjusted</v>
      </c>
      <c r="J7" s="61" t="s">
        <v>15</v>
      </c>
      <c r="K7" s="61" t="b">
        <v>0</v>
      </c>
      <c r="L7" s="62"/>
      <c r="M7" s="62"/>
      <c r="N7" s="61" t="str">
        <f t="shared" ref="N7:N17" si="16">O7&amp;F7</f>
        <v>BTP932D</v>
      </c>
      <c r="O7" s="61" t="s">
        <v>145</v>
      </c>
      <c r="P7" s="54" t="str">
        <f>_xll.qlFixedRateBond(Q7,R7,S7,T7,U7,V7,W7,X7,Y7,Z7,AA7,AB7)</f>
        <v>bondBTP932D#0020</v>
      </c>
      <c r="Q7" t="str">
        <f t="shared" si="1"/>
        <v>bondBTP932D</v>
      </c>
      <c r="R7" t="str">
        <f t="shared" si="2"/>
        <v>bondBTP932D</v>
      </c>
      <c r="S7" s="54" t="s">
        <v>178</v>
      </c>
      <c r="T7">
        <f t="shared" si="9"/>
        <v>2</v>
      </c>
      <c r="U7">
        <f t="shared" si="10"/>
        <v>100</v>
      </c>
      <c r="V7" t="str">
        <f t="shared" si="3"/>
        <v>BTP932D#0017</v>
      </c>
      <c r="W7" s="98">
        <f>VLOOKUP(E7,DAti_MF!D5:Z6,23,FALSE)/100</f>
        <v>2.5000000000000001E-3</v>
      </c>
      <c r="X7" s="65" t="s">
        <v>57</v>
      </c>
      <c r="Y7" s="54" t="s">
        <v>141</v>
      </c>
      <c r="Z7">
        <f t="shared" si="11"/>
        <v>100</v>
      </c>
      <c r="AA7" s="55">
        <f t="shared" si="4"/>
        <v>28625</v>
      </c>
      <c r="AB7" s="65" t="s">
        <v>140</v>
      </c>
      <c r="AC7" s="57" t="str">
        <f>_xll.qlBondHelper(AD7,AE7,AF7,AG7)</f>
        <v>BondHelperbondBTP932D#0021</v>
      </c>
      <c r="AD7" t="str">
        <f t="shared" si="5"/>
        <v>BondHelperbondBTP932D</v>
      </c>
      <c r="AE7" s="94">
        <f>VLOOKUP(E7,DAti_MF!$D$2:$G$16,4,FALSE)</f>
        <v>100.25</v>
      </c>
      <c r="AF7" t="str">
        <f t="shared" si="6"/>
        <v>bondBTP932D#0020</v>
      </c>
      <c r="AG7" s="54" t="b">
        <v>1</v>
      </c>
      <c r="AH7" s="5" t="b">
        <f>_xll.qlInstrumentSetPricingEngine(P7,BondCurve!$I$21)</f>
        <v>1</v>
      </c>
      <c r="AI7" s="6">
        <f>_xll.qlBondCleanPrice(P7,AH7)</f>
        <v>100.25</v>
      </c>
    </row>
    <row r="8" spans="1:36" ht="13.5" x14ac:dyDescent="0.2">
      <c r="A8" s="49" t="s">
        <v>98</v>
      </c>
      <c r="B8" s="55">
        <f t="shared" si="13"/>
        <v>42303</v>
      </c>
      <c r="C8" s="60" t="str">
        <f t="array" ref="C8">_xll.qlSchedule(N8,D8,E8,F8,G8,H8,I8,J8,K8,L8,M8)</f>
        <v>BTP1283D#0017</v>
      </c>
      <c r="D8" s="62">
        <f t="shared" si="14"/>
        <v>42303</v>
      </c>
      <c r="E8" s="64">
        <f>DATE(2019,5,1)</f>
        <v>43586</v>
      </c>
      <c r="F8" s="61" t="str">
        <f t="shared" si="15"/>
        <v>1283D</v>
      </c>
      <c r="G8" s="61" t="s">
        <v>140</v>
      </c>
      <c r="H8" s="61" t="s">
        <v>141</v>
      </c>
      <c r="I8" s="61" t="str">
        <f t="shared" si="8"/>
        <v>Unadjusted</v>
      </c>
      <c r="J8" s="61" t="s">
        <v>15</v>
      </c>
      <c r="K8" s="61" t="b">
        <v>0</v>
      </c>
      <c r="L8" s="62"/>
      <c r="M8" s="62"/>
      <c r="N8" s="61" t="str">
        <f t="shared" si="16"/>
        <v>BTP1283D</v>
      </c>
      <c r="O8" s="61" t="s">
        <v>145</v>
      </c>
      <c r="P8" s="54" t="str">
        <f>_xll.qlFixedRateBond(Q8,R8,S8,T8,U8,V8,W8,X8,Y8,Z8,AA8,AB8)</f>
        <v>bondBTP1283D#0020</v>
      </c>
      <c r="Q8" t="str">
        <f t="shared" si="1"/>
        <v>bondBTP1283D</v>
      </c>
      <c r="R8" t="str">
        <f t="shared" si="2"/>
        <v>bondBTP1283D</v>
      </c>
      <c r="S8" s="54" t="s">
        <v>178</v>
      </c>
      <c r="T8">
        <f t="shared" si="9"/>
        <v>2</v>
      </c>
      <c r="U8">
        <f t="shared" si="10"/>
        <v>100</v>
      </c>
      <c r="V8" t="str">
        <f t="shared" si="3"/>
        <v>BTP1283D#0017</v>
      </c>
      <c r="W8" s="98">
        <f>VLOOKUP(E8,DAti_MF!D6:Z7,23,FALSE)/100</f>
        <v>2.5000000000000001E-2</v>
      </c>
      <c r="X8" s="65" t="s">
        <v>57</v>
      </c>
      <c r="Y8" s="54" t="s">
        <v>141</v>
      </c>
      <c r="Z8">
        <f t="shared" si="11"/>
        <v>100</v>
      </c>
      <c r="AA8" s="55">
        <f t="shared" si="4"/>
        <v>28976</v>
      </c>
      <c r="AB8" s="65" t="s">
        <v>140</v>
      </c>
      <c r="AC8" s="57" t="str">
        <f>_xll.qlBondHelper(AD8,AE8,AF8,AG8)</f>
        <v>BondHelperbondBTP1283D#0021</v>
      </c>
      <c r="AD8" t="str">
        <f t="shared" si="5"/>
        <v>BondHelperbondBTP1283D</v>
      </c>
      <c r="AE8" s="94">
        <f>VLOOKUP(E8,DAti_MF!$D$2:$G$16,4,FALSE)</f>
        <v>107.685</v>
      </c>
      <c r="AF8" t="str">
        <f t="shared" si="6"/>
        <v>bondBTP1283D#0020</v>
      </c>
      <c r="AG8" s="54" t="b">
        <v>1</v>
      </c>
      <c r="AH8" s="5" t="b">
        <f>_xll.qlInstrumentSetPricingEngine(P8,BondCurve!$I$21)</f>
        <v>1</v>
      </c>
      <c r="AI8" s="6">
        <f>_xll.qlBondCleanPrice(P8,AH8)</f>
        <v>107.68499999999999</v>
      </c>
    </row>
    <row r="9" spans="1:36" ht="13.5" x14ac:dyDescent="0.2">
      <c r="A9" s="49" t="s">
        <v>99</v>
      </c>
      <c r="B9" s="55">
        <f t="shared" si="13"/>
        <v>42303</v>
      </c>
      <c r="C9" s="60" t="str">
        <f t="array" ref="C9">_xll.qlSchedule(N9,D9,E9,F9,G9,H9,I9,J9,K9,L9,M9)</f>
        <v>BTP1649D#0017</v>
      </c>
      <c r="D9" s="62">
        <f t="shared" si="14"/>
        <v>42303</v>
      </c>
      <c r="E9" s="64">
        <f>DATE(2020,5,1)</f>
        <v>43952</v>
      </c>
      <c r="F9" s="61" t="str">
        <f t="shared" si="15"/>
        <v>1649D</v>
      </c>
      <c r="G9" s="61" t="s">
        <v>140</v>
      </c>
      <c r="H9" s="61" t="s">
        <v>141</v>
      </c>
      <c r="I9" s="61" t="str">
        <f t="shared" si="8"/>
        <v>Unadjusted</v>
      </c>
      <c r="J9" s="61" t="s">
        <v>15</v>
      </c>
      <c r="K9" s="61" t="b">
        <v>0</v>
      </c>
      <c r="L9" s="62"/>
      <c r="M9" s="62"/>
      <c r="N9" s="61" t="str">
        <f t="shared" si="16"/>
        <v>BTP1649D</v>
      </c>
      <c r="O9" s="61" t="s">
        <v>145</v>
      </c>
      <c r="P9" s="54" t="str">
        <f>_xll.qlFixedRateBond(Q9,R9,S9,T9,U9,V9,W9,X9,Y9,Z9,AA9,AB9)</f>
        <v>bondBTP1649D#0020</v>
      </c>
      <c r="Q9" t="str">
        <f t="shared" si="1"/>
        <v>bondBTP1649D</v>
      </c>
      <c r="R9" t="str">
        <f t="shared" si="2"/>
        <v>bondBTP1649D</v>
      </c>
      <c r="S9" s="54" t="s">
        <v>178</v>
      </c>
      <c r="T9">
        <f t="shared" si="9"/>
        <v>2</v>
      </c>
      <c r="U9">
        <f t="shared" si="10"/>
        <v>100</v>
      </c>
      <c r="V9" t="str">
        <f t="shared" si="3"/>
        <v>BTP1649D#0017</v>
      </c>
      <c r="W9" s="98">
        <f>VLOOKUP(E9,DAti_MF!D7:Z8,23,FALSE)/100</f>
        <v>6.9999999999999993E-3</v>
      </c>
      <c r="X9" s="65" t="s">
        <v>57</v>
      </c>
      <c r="Y9" s="54" t="s">
        <v>141</v>
      </c>
      <c r="Z9">
        <f t="shared" si="11"/>
        <v>100</v>
      </c>
      <c r="AA9" s="55">
        <f t="shared" si="4"/>
        <v>29342</v>
      </c>
      <c r="AB9" s="65" t="s">
        <v>140</v>
      </c>
      <c r="AC9" s="57" t="str">
        <f>_xll.qlBondHelper(AD9,AE9,AF9,AG9)</f>
        <v>BondHelperbondBTP1649D#0021</v>
      </c>
      <c r="AD9" t="str">
        <f t="shared" si="5"/>
        <v>BondHelperbondBTP1649D</v>
      </c>
      <c r="AE9" s="94">
        <f>VLOOKUP(E9,DAti_MF!$D$2:$G$16,4,FALSE)</f>
        <v>100.80500000000001</v>
      </c>
      <c r="AF9" t="str">
        <f t="shared" si="6"/>
        <v>bondBTP1649D#0020</v>
      </c>
      <c r="AG9" s="54" t="b">
        <v>1</v>
      </c>
      <c r="AH9" s="5" t="b">
        <f>_xll.qlInstrumentSetPricingEngine(P9,BondCurve!$I$21)</f>
        <v>1</v>
      </c>
      <c r="AI9" s="6">
        <f>_xll.qlBondCleanPrice(P9,AH9)</f>
        <v>100.80500000000001</v>
      </c>
    </row>
    <row r="10" spans="1:36" ht="13.5" x14ac:dyDescent="0.2">
      <c r="A10" s="49" t="s">
        <v>100</v>
      </c>
      <c r="B10" s="55">
        <f t="shared" si="13"/>
        <v>42303</v>
      </c>
      <c r="C10" s="60" t="str">
        <f t="array" ref="C10">_xll.qlSchedule(N10,D10,E10,F10,G10,H10,I10,J10,K10,L10,M10)</f>
        <v>BTP2014D#0017</v>
      </c>
      <c r="D10" s="62">
        <f t="shared" si="14"/>
        <v>42303</v>
      </c>
      <c r="E10" s="64">
        <f>DATE(2021,5,1)</f>
        <v>44317</v>
      </c>
      <c r="F10" s="61" t="str">
        <f t="shared" si="15"/>
        <v>2014D</v>
      </c>
      <c r="G10" s="61" t="s">
        <v>140</v>
      </c>
      <c r="H10" s="61" t="s">
        <v>141</v>
      </c>
      <c r="I10" s="61" t="str">
        <f t="shared" si="8"/>
        <v>Unadjusted</v>
      </c>
      <c r="J10" s="61" t="s">
        <v>15</v>
      </c>
      <c r="K10" s="61" t="b">
        <v>0</v>
      </c>
      <c r="L10" s="62"/>
      <c r="M10" s="62"/>
      <c r="N10" s="61" t="str">
        <f t="shared" si="16"/>
        <v>BTP2014D</v>
      </c>
      <c r="O10" s="61" t="s">
        <v>145</v>
      </c>
      <c r="P10" s="54" t="str">
        <f>_xll.qlFixedRateBond(Q10,R10,S10,T10,U10,V10,W10,X10,Y10,Z10,AA10,AB10)</f>
        <v>bondBTP2014D#0020</v>
      </c>
      <c r="Q10" t="str">
        <f t="shared" si="1"/>
        <v>bondBTP2014D</v>
      </c>
      <c r="R10" t="str">
        <f t="shared" si="2"/>
        <v>bondBTP2014D</v>
      </c>
      <c r="S10" s="54" t="s">
        <v>178</v>
      </c>
      <c r="T10">
        <f t="shared" si="9"/>
        <v>2</v>
      </c>
      <c r="U10">
        <f t="shared" si="10"/>
        <v>100</v>
      </c>
      <c r="V10" t="str">
        <f t="shared" si="3"/>
        <v>BTP2014D#0017</v>
      </c>
      <c r="W10" s="98">
        <f>VLOOKUP(E10,DAti_MF!D8:Z9,23,FALSE)/100</f>
        <v>3.7499999999999999E-2</v>
      </c>
      <c r="X10" s="65" t="s">
        <v>57</v>
      </c>
      <c r="Y10" s="54" t="s">
        <v>141</v>
      </c>
      <c r="Z10">
        <f t="shared" si="11"/>
        <v>100</v>
      </c>
      <c r="AA10" s="55">
        <f t="shared" si="4"/>
        <v>29707</v>
      </c>
      <c r="AB10" s="65" t="s">
        <v>140</v>
      </c>
      <c r="AC10" s="57" t="str">
        <f>_xll.qlBondHelper(AD10,AE10,AF10,AG10)</f>
        <v>BondHelperbondBTP2014D#0021</v>
      </c>
      <c r="AD10" t="str">
        <f t="shared" si="5"/>
        <v>BondHelperbondBTP2014D</v>
      </c>
      <c r="AE10" s="94">
        <f>VLOOKUP(E10,DAti_MF!$D$2:$G$16,4,FALSE)</f>
        <v>116.04</v>
      </c>
      <c r="AF10" t="str">
        <f t="shared" si="6"/>
        <v>bondBTP2014D#0020</v>
      </c>
      <c r="AG10" s="54" t="b">
        <v>1</v>
      </c>
      <c r="AH10" s="5" t="b">
        <f>_xll.qlInstrumentSetPricingEngine(P10,BondCurve!$I$21)</f>
        <v>1</v>
      </c>
      <c r="AI10" s="6">
        <f>_xll.qlBondCleanPrice(P10,AH10)</f>
        <v>116.04</v>
      </c>
    </row>
    <row r="11" spans="1:36" ht="13.5" x14ac:dyDescent="0.2">
      <c r="A11" s="49" t="s">
        <v>101</v>
      </c>
      <c r="B11" s="55">
        <f t="shared" si="13"/>
        <v>42303</v>
      </c>
      <c r="C11" s="60" t="str">
        <f t="array" ref="C11">_xll.qlSchedule(N11,D11,E11,F11,G11,H11,I11,J11,K11,L11,M11)</f>
        <v>BTP2363D#0017</v>
      </c>
      <c r="D11" s="62">
        <f t="shared" si="14"/>
        <v>42303</v>
      </c>
      <c r="E11" s="64">
        <f>DATE(2022,4,15)</f>
        <v>44666</v>
      </c>
      <c r="F11" s="61" t="str">
        <f t="shared" si="15"/>
        <v>2363D</v>
      </c>
      <c r="G11" s="61" t="s">
        <v>140</v>
      </c>
      <c r="H11" s="61" t="s">
        <v>141</v>
      </c>
      <c r="I11" s="61" t="str">
        <f t="shared" si="8"/>
        <v>Unadjusted</v>
      </c>
      <c r="J11" s="61" t="s">
        <v>15</v>
      </c>
      <c r="K11" s="61" t="b">
        <v>0</v>
      </c>
      <c r="L11" s="62"/>
      <c r="M11" s="62"/>
      <c r="N11" s="61" t="str">
        <f t="shared" si="16"/>
        <v>BTP2363D</v>
      </c>
      <c r="O11" s="61" t="s">
        <v>145</v>
      </c>
      <c r="P11" s="54" t="str">
        <f>_xll.qlFixedRateBond(Q11,R11,S11,T11,U11,V11,W11,X11,Y11,Z11,AA11,AB11)</f>
        <v>bondBTP2363D#0020</v>
      </c>
      <c r="Q11" t="str">
        <f t="shared" si="1"/>
        <v>bondBTP2363D</v>
      </c>
      <c r="R11" t="str">
        <f t="shared" si="2"/>
        <v>bondBTP2363D</v>
      </c>
      <c r="S11" s="54" t="s">
        <v>178</v>
      </c>
      <c r="T11">
        <f t="shared" si="9"/>
        <v>2</v>
      </c>
      <c r="U11">
        <f t="shared" si="10"/>
        <v>100</v>
      </c>
      <c r="V11" t="str">
        <f t="shared" si="3"/>
        <v>BTP2363D#0017</v>
      </c>
      <c r="W11" s="98">
        <f>VLOOKUP(E11,DAti_MF!D9:Z10,23,FALSE)/100</f>
        <v>1.3500000000000002E-2</v>
      </c>
      <c r="X11" s="65" t="s">
        <v>57</v>
      </c>
      <c r="Y11" s="54" t="s">
        <v>141</v>
      </c>
      <c r="Z11">
        <f t="shared" si="11"/>
        <v>100</v>
      </c>
      <c r="AA11" s="55">
        <f t="shared" si="4"/>
        <v>30056</v>
      </c>
      <c r="AB11" s="65" t="s">
        <v>140</v>
      </c>
      <c r="AC11" s="57" t="str">
        <f>_xll.qlBondHelper(AD11,AE11,AF11,AG11)</f>
        <v>BondHelperbondBTP2363D#0021</v>
      </c>
      <c r="AD11" t="str">
        <f t="shared" si="5"/>
        <v>BondHelperbondBTP2363D</v>
      </c>
      <c r="AE11" s="94">
        <f>VLOOKUP(E11,DAti_MF!$D$2:$G$16,4,FALSE)</f>
        <v>102.215</v>
      </c>
      <c r="AF11" t="str">
        <f t="shared" si="6"/>
        <v>bondBTP2363D#0020</v>
      </c>
      <c r="AG11" s="54" t="b">
        <v>1</v>
      </c>
      <c r="AH11" s="5" t="b">
        <f>_xll.qlInstrumentSetPricingEngine(P11,BondCurve!$I$21)</f>
        <v>1</v>
      </c>
      <c r="AI11" s="6">
        <f>_xll.qlBondCleanPrice(P11,AH11)</f>
        <v>102.21500000000002</v>
      </c>
    </row>
    <row r="12" spans="1:36" ht="13.5" x14ac:dyDescent="0.2">
      <c r="A12" s="49" t="s">
        <v>102</v>
      </c>
      <c r="B12" s="55">
        <f t="shared" si="13"/>
        <v>42303</v>
      </c>
      <c r="C12" s="60" t="str">
        <f t="array" ref="C12">_xll.qlSchedule(N12,D12,E12,F12,G12,H12,I12,J12,K12,L12,M12)</f>
        <v>BTP2744D#0017</v>
      </c>
      <c r="D12" s="62">
        <f t="shared" si="14"/>
        <v>42303</v>
      </c>
      <c r="E12" s="64">
        <f>DATE(2023,5,1)</f>
        <v>45047</v>
      </c>
      <c r="F12" s="61" t="str">
        <f t="shared" si="15"/>
        <v>2744D</v>
      </c>
      <c r="G12" s="61" t="s">
        <v>140</v>
      </c>
      <c r="H12" s="61" t="s">
        <v>141</v>
      </c>
      <c r="I12" s="61" t="str">
        <f t="shared" si="8"/>
        <v>Unadjusted</v>
      </c>
      <c r="J12" s="61" t="s">
        <v>15</v>
      </c>
      <c r="K12" s="61" t="b">
        <v>0</v>
      </c>
      <c r="L12" s="62"/>
      <c r="M12" s="62"/>
      <c r="N12" s="61" t="str">
        <f t="shared" si="16"/>
        <v>BTP2744D</v>
      </c>
      <c r="O12" s="61" t="s">
        <v>145</v>
      </c>
      <c r="P12" s="54" t="str">
        <f>_xll.qlFixedRateBond(Q12,R12,S12,T12,U12,V12,W12,X12,Y12,Z12,AA12,AB12)</f>
        <v>bondBTP2744D#0020</v>
      </c>
      <c r="Q12" t="str">
        <f t="shared" si="1"/>
        <v>bondBTP2744D</v>
      </c>
      <c r="R12" t="str">
        <f t="shared" si="2"/>
        <v>bondBTP2744D</v>
      </c>
      <c r="S12" s="54" t="s">
        <v>178</v>
      </c>
      <c r="T12">
        <f t="shared" si="9"/>
        <v>2</v>
      </c>
      <c r="U12">
        <f t="shared" si="10"/>
        <v>100</v>
      </c>
      <c r="V12" t="str">
        <f t="shared" si="3"/>
        <v>BTP2744D#0017</v>
      </c>
      <c r="W12" s="98">
        <f>VLOOKUP(E12,DAti_MF!D10:Z11,23,FALSE)/100</f>
        <v>4.4999999999999998E-2</v>
      </c>
      <c r="X12" s="65" t="s">
        <v>57</v>
      </c>
      <c r="Y12" s="54" t="s">
        <v>141</v>
      </c>
      <c r="Z12">
        <f t="shared" si="11"/>
        <v>100</v>
      </c>
      <c r="AA12" s="55">
        <f t="shared" si="4"/>
        <v>30437</v>
      </c>
      <c r="AB12" s="65" t="s">
        <v>140</v>
      </c>
      <c r="AC12" s="57" t="str">
        <f>_xll.qlBondHelper(AD12,AE12,AF12,AG12)</f>
        <v>BondHelperbondBTP2744D#0021</v>
      </c>
      <c r="AD12" t="str">
        <f t="shared" si="5"/>
        <v>BondHelperbondBTP2744D</v>
      </c>
      <c r="AE12" s="94">
        <f>VLOOKUP(E12,DAti_MF!$D$2:$G$16,4,FALSE)</f>
        <v>123.545</v>
      </c>
      <c r="AF12" t="str">
        <f t="shared" si="6"/>
        <v>bondBTP2744D#0020</v>
      </c>
      <c r="AG12" s="54" t="b">
        <v>1</v>
      </c>
      <c r="AH12" s="5" t="b">
        <f>_xll.qlInstrumentSetPricingEngine(P12,BondCurve!$I$21)</f>
        <v>1</v>
      </c>
      <c r="AI12" s="6">
        <f>_xll.qlBondCleanPrice(P12,AH12)</f>
        <v>123.54499999999999</v>
      </c>
    </row>
    <row r="13" spans="1:36" ht="13.5" x14ac:dyDescent="0.2">
      <c r="A13" s="49" t="s">
        <v>103</v>
      </c>
      <c r="B13" s="55">
        <f t="shared" si="13"/>
        <v>42303</v>
      </c>
      <c r="C13" s="60" t="str">
        <f t="array" ref="C13">_xll.qlSchedule(N13,D13,E13,F13,G13,H13,I13,J13,K13,L13,M13)</f>
        <v>BTP3049D#0017</v>
      </c>
      <c r="D13" s="62">
        <f t="shared" si="14"/>
        <v>42303</v>
      </c>
      <c r="E13" s="64">
        <f>DATE(2024,3,1)</f>
        <v>45352</v>
      </c>
      <c r="F13" s="61" t="str">
        <f t="shared" si="15"/>
        <v>3049D</v>
      </c>
      <c r="G13" s="61" t="s">
        <v>140</v>
      </c>
      <c r="H13" s="61" t="s">
        <v>141</v>
      </c>
      <c r="I13" s="61" t="str">
        <f t="shared" si="8"/>
        <v>Unadjusted</v>
      </c>
      <c r="J13" s="61" t="s">
        <v>15</v>
      </c>
      <c r="K13" s="61" t="b">
        <v>0</v>
      </c>
      <c r="L13" s="62"/>
      <c r="M13" s="62"/>
      <c r="N13" s="61" t="str">
        <f t="shared" si="16"/>
        <v>BTP3049D</v>
      </c>
      <c r="O13" s="61" t="s">
        <v>145</v>
      </c>
      <c r="P13" s="54" t="str">
        <f>_xll.qlFixedRateBond(Q13,R13,S13,T13,U13,V13,W13,X13,Y13,Z13,AA13,AB13)</f>
        <v>bondBTP3049D#0020</v>
      </c>
      <c r="Q13" t="str">
        <f t="shared" si="1"/>
        <v>bondBTP3049D</v>
      </c>
      <c r="R13" t="str">
        <f t="shared" si="2"/>
        <v>bondBTP3049D</v>
      </c>
      <c r="S13" s="54" t="s">
        <v>178</v>
      </c>
      <c r="T13">
        <f t="shared" si="9"/>
        <v>2</v>
      </c>
      <c r="U13">
        <f t="shared" si="10"/>
        <v>100</v>
      </c>
      <c r="V13" t="str">
        <f t="shared" si="3"/>
        <v>BTP3049D#0017</v>
      </c>
      <c r="W13" s="98">
        <f>VLOOKUP(E13,DAti_MF!D11:Z12,23,FALSE)/100</f>
        <v>4.4999999999999998E-2</v>
      </c>
      <c r="X13" s="65" t="s">
        <v>57</v>
      </c>
      <c r="Y13" s="54" t="s">
        <v>141</v>
      </c>
      <c r="Z13">
        <f t="shared" si="11"/>
        <v>100</v>
      </c>
      <c r="AA13" s="55">
        <f t="shared" si="4"/>
        <v>30742</v>
      </c>
      <c r="AB13" s="65" t="s">
        <v>140</v>
      </c>
      <c r="AC13" s="57" t="str">
        <f>_xll.qlBondHelper(AD13,AE13,AF13,AG13)</f>
        <v>BondHelperbondBTP3049D#0021</v>
      </c>
      <c r="AD13" t="str">
        <f t="shared" si="5"/>
        <v>BondHelperbondBTP3049D</v>
      </c>
      <c r="AE13" s="94">
        <f>VLOOKUP(E13,DAti_MF!$D$2:$G$16,4,FALSE)</f>
        <v>124.66</v>
      </c>
      <c r="AF13" t="str">
        <f t="shared" si="6"/>
        <v>bondBTP3049D#0020</v>
      </c>
      <c r="AG13" s="54" t="b">
        <v>1</v>
      </c>
      <c r="AH13" s="5" t="b">
        <f>_xll.qlInstrumentSetPricingEngine(P13,BondCurve!$I$21)</f>
        <v>1</v>
      </c>
      <c r="AI13" s="6">
        <f>_xll.qlBondCleanPrice(P13,AH13)</f>
        <v>124.66</v>
      </c>
    </row>
    <row r="14" spans="1:36" ht="13.5" x14ac:dyDescent="0.2">
      <c r="A14" s="49" t="s">
        <v>104</v>
      </c>
      <c r="B14" s="55">
        <f t="shared" si="13"/>
        <v>42303</v>
      </c>
      <c r="C14" s="60" t="str">
        <f t="array" ref="C14">_xll.qlSchedule(N14,D14,E14,F14,G14,H14,I14,J14,K14,L14,M14)</f>
        <v>BTP3506D#0017</v>
      </c>
      <c r="D14" s="62">
        <f t="shared" si="14"/>
        <v>42303</v>
      </c>
      <c r="E14" s="64">
        <f>DATE(2025,6,1)</f>
        <v>45809</v>
      </c>
      <c r="F14" s="61" t="str">
        <f t="shared" si="15"/>
        <v>3506D</v>
      </c>
      <c r="G14" s="61" t="s">
        <v>140</v>
      </c>
      <c r="H14" s="61" t="s">
        <v>141</v>
      </c>
      <c r="I14" s="61" t="str">
        <f t="shared" si="8"/>
        <v>Unadjusted</v>
      </c>
      <c r="J14" s="61" t="s">
        <v>15</v>
      </c>
      <c r="K14" s="61" t="b">
        <v>0</v>
      </c>
      <c r="L14" s="62"/>
      <c r="M14" s="62"/>
      <c r="N14" s="61" t="str">
        <f t="shared" si="16"/>
        <v>BTP3506D</v>
      </c>
      <c r="O14" s="61" t="s">
        <v>145</v>
      </c>
      <c r="P14" s="54" t="str">
        <f>_xll.qlFixedRateBond(Q14,R14,S14,T14,U14,V14,W14,X14,Y14,Z14,AA14,AB14)</f>
        <v>bondBTP3506D#0020</v>
      </c>
      <c r="Q14" t="str">
        <f t="shared" si="1"/>
        <v>bondBTP3506D</v>
      </c>
      <c r="R14" t="str">
        <f t="shared" si="2"/>
        <v>bondBTP3506D</v>
      </c>
      <c r="S14" s="54" t="s">
        <v>178</v>
      </c>
      <c r="T14">
        <f t="shared" si="9"/>
        <v>2</v>
      </c>
      <c r="U14">
        <f t="shared" si="10"/>
        <v>100</v>
      </c>
      <c r="V14" t="str">
        <f t="shared" si="3"/>
        <v>BTP3506D#0017</v>
      </c>
      <c r="W14" s="98">
        <f>VLOOKUP(E14,DAti_MF!D12:Z13,23,FALSE)/100</f>
        <v>1.4999999999999999E-2</v>
      </c>
      <c r="X14" s="65" t="s">
        <v>57</v>
      </c>
      <c r="Y14" s="54" t="s">
        <v>141</v>
      </c>
      <c r="Z14">
        <f t="shared" si="11"/>
        <v>100</v>
      </c>
      <c r="AA14" s="55">
        <f t="shared" si="4"/>
        <v>31199</v>
      </c>
      <c r="AB14" s="65" t="s">
        <v>140</v>
      </c>
      <c r="AC14" s="57" t="str">
        <f>_xll.qlBondHelper(AD14,AE14,AF14,AG14)</f>
        <v>BondHelperbondBTP3506D#0021</v>
      </c>
      <c r="AD14" t="str">
        <f t="shared" si="5"/>
        <v>BondHelperbondBTP3506D</v>
      </c>
      <c r="AE14" s="94">
        <f>VLOOKUP(E14,DAti_MF!$D$2:$G$16,4,FALSE)</f>
        <v>100.16500000000001</v>
      </c>
      <c r="AF14" t="str">
        <f t="shared" si="6"/>
        <v>bondBTP3506D#0020</v>
      </c>
      <c r="AG14" s="54" t="b">
        <v>1</v>
      </c>
      <c r="AH14" s="5" t="b">
        <f>_xll.qlInstrumentSetPricingEngine(P14,BondCurve!$I$21)</f>
        <v>1</v>
      </c>
      <c r="AI14" s="6">
        <f>_xll.qlBondCleanPrice(P14,AH14)</f>
        <v>100.16500000000001</v>
      </c>
    </row>
    <row r="15" spans="1:36" ht="13.5" x14ac:dyDescent="0.2">
      <c r="A15" s="49" t="s">
        <v>105</v>
      </c>
      <c r="B15" s="55">
        <f t="shared" si="13"/>
        <v>42303</v>
      </c>
      <c r="C15" s="60" t="str">
        <f t="array" ref="C15">_xll.qlSchedule(N15,D15,E15,F15,G15,H15,I15,J15,K15,L15,M15)</f>
        <v>BTP5971D#0017</v>
      </c>
      <c r="D15" s="62">
        <f t="shared" si="14"/>
        <v>42303</v>
      </c>
      <c r="E15" s="64">
        <f>DATE(2032,3,1)</f>
        <v>48274</v>
      </c>
      <c r="F15" s="61" t="str">
        <f t="shared" si="15"/>
        <v>5971D</v>
      </c>
      <c r="G15" s="61" t="s">
        <v>140</v>
      </c>
      <c r="H15" s="61" t="s">
        <v>141</v>
      </c>
      <c r="I15" s="61" t="str">
        <f t="shared" si="8"/>
        <v>Unadjusted</v>
      </c>
      <c r="J15" s="61" t="s">
        <v>15</v>
      </c>
      <c r="K15" s="61" t="b">
        <v>0</v>
      </c>
      <c r="L15" s="62"/>
      <c r="M15" s="62"/>
      <c r="N15" s="61" t="str">
        <f t="shared" si="16"/>
        <v>BTP5971D</v>
      </c>
      <c r="O15" s="61" t="s">
        <v>145</v>
      </c>
      <c r="P15" s="54" t="str">
        <f>_xll.qlFixedRateBond(Q15,R15,S15,T15,U15,V15,W15,X15,Y15,Z15,AA15,AB15)</f>
        <v>bondBTP5971D#0020</v>
      </c>
      <c r="Q15" t="str">
        <f t="shared" si="1"/>
        <v>bondBTP5971D</v>
      </c>
      <c r="R15" t="str">
        <f t="shared" si="2"/>
        <v>bondBTP5971D</v>
      </c>
      <c r="S15" s="54" t="s">
        <v>178</v>
      </c>
      <c r="T15">
        <f t="shared" si="9"/>
        <v>2</v>
      </c>
      <c r="U15">
        <f t="shared" si="10"/>
        <v>100</v>
      </c>
      <c r="V15" t="str">
        <f t="shared" si="3"/>
        <v>BTP5971D#0017</v>
      </c>
      <c r="W15" s="98">
        <f>VLOOKUP(E15,DAti_MF!D13:Z14,23,FALSE)/100</f>
        <v>1.6500000000000001E-2</v>
      </c>
      <c r="X15" s="65" t="s">
        <v>57</v>
      </c>
      <c r="Y15" s="54" t="s">
        <v>141</v>
      </c>
      <c r="Z15">
        <f t="shared" si="11"/>
        <v>100</v>
      </c>
      <c r="AA15" s="55">
        <f t="shared" si="4"/>
        <v>33664</v>
      </c>
      <c r="AB15" s="65" t="s">
        <v>140</v>
      </c>
      <c r="AC15" s="57" t="str">
        <f>_xll.qlBondHelper(AD15,AE15,AF15,AG15)</f>
        <v>BondHelperbondBTP5971D#0021</v>
      </c>
      <c r="AD15" t="str">
        <f t="shared" si="5"/>
        <v>BondHelperbondBTP5971D</v>
      </c>
      <c r="AE15" s="94">
        <f>VLOOKUP(E15,DAti_MF!$D$2:$G$16,4,FALSE)</f>
        <v>95.305000000000007</v>
      </c>
      <c r="AF15" t="str">
        <f t="shared" si="6"/>
        <v>bondBTP5971D#0020</v>
      </c>
      <c r="AG15" s="54" t="b">
        <v>1</v>
      </c>
      <c r="AH15" s="5" t="b">
        <f>_xll.qlInstrumentSetPricingEngine(P15,BondCurve!$I$21)</f>
        <v>1</v>
      </c>
      <c r="AI15" s="6">
        <f>_xll.qlBondCleanPrice(P15,AH15)</f>
        <v>95.305000000000021</v>
      </c>
    </row>
    <row r="16" spans="1:36" ht="13.5" x14ac:dyDescent="0.2">
      <c r="A16" s="49" t="s">
        <v>106</v>
      </c>
      <c r="B16" s="55">
        <f t="shared" si="13"/>
        <v>42303</v>
      </c>
      <c r="C16" s="60" t="str">
        <f t="array" ref="C16">_xll.qlSchedule(N16,D16,E16,F16,G16,H16,I16,J16,K16,L16,M16)</f>
        <v>BTP6854D#0017</v>
      </c>
      <c r="D16" s="62">
        <f t="shared" si="14"/>
        <v>42303</v>
      </c>
      <c r="E16" s="64">
        <f>DATE(2034,8,1)</f>
        <v>49157</v>
      </c>
      <c r="F16" s="61" t="str">
        <f t="shared" si="15"/>
        <v>6854D</v>
      </c>
      <c r="G16" s="61" t="s">
        <v>140</v>
      </c>
      <c r="H16" s="61" t="s">
        <v>141</v>
      </c>
      <c r="I16" s="61" t="str">
        <f t="shared" si="8"/>
        <v>Unadjusted</v>
      </c>
      <c r="J16" s="61" t="s">
        <v>15</v>
      </c>
      <c r="K16" s="61" t="b">
        <v>0</v>
      </c>
      <c r="L16" s="62"/>
      <c r="M16" s="62"/>
      <c r="N16" s="61" t="str">
        <f t="shared" si="16"/>
        <v>BTP6854D</v>
      </c>
      <c r="O16" s="61" t="s">
        <v>145</v>
      </c>
      <c r="P16" s="54" t="str">
        <f>_xll.qlFixedRateBond(Q16,R16,S16,T16,U16,V16,W16,X16,Y16,Z16,AA16,AB16)</f>
        <v>bondBTP6854D#0020</v>
      </c>
      <c r="Q16" t="str">
        <f t="shared" si="1"/>
        <v>bondBTP6854D</v>
      </c>
      <c r="R16" t="str">
        <f t="shared" si="2"/>
        <v>bondBTP6854D</v>
      </c>
      <c r="S16" s="54" t="s">
        <v>178</v>
      </c>
      <c r="T16">
        <f t="shared" si="9"/>
        <v>2</v>
      </c>
      <c r="U16">
        <f t="shared" si="10"/>
        <v>100</v>
      </c>
      <c r="V16" t="str">
        <f t="shared" si="3"/>
        <v>BTP6854D#0017</v>
      </c>
      <c r="W16" s="98">
        <f>VLOOKUP(E16,DAti_MF!D14:Z15,23,FALSE)/100</f>
        <v>0.05</v>
      </c>
      <c r="X16" s="65" t="s">
        <v>57</v>
      </c>
      <c r="Y16" s="54" t="s">
        <v>141</v>
      </c>
      <c r="Z16">
        <f t="shared" si="11"/>
        <v>100</v>
      </c>
      <c r="AA16" s="55">
        <f t="shared" si="4"/>
        <v>34547</v>
      </c>
      <c r="AB16" s="65" t="s">
        <v>140</v>
      </c>
      <c r="AC16" s="57" t="str">
        <f>_xll.qlBondHelper(AD16,AE16,AF16,AG16)</f>
        <v>BondHelperbondBTP6854D#0022</v>
      </c>
      <c r="AD16" t="str">
        <f t="shared" si="5"/>
        <v>BondHelperbondBTP6854D</v>
      </c>
      <c r="AE16" s="94">
        <f>VLOOKUP(E16,DAti_MF!$D$2:$G$16,4,FALSE)</f>
        <v>141.80000000000001</v>
      </c>
      <c r="AF16" t="str">
        <f t="shared" si="6"/>
        <v>bondBTP6854D#0020</v>
      </c>
      <c r="AG16" s="54" t="b">
        <v>1</v>
      </c>
      <c r="AH16" s="5" t="b">
        <f>_xll.qlInstrumentSetPricingEngine(P16,BondCurve!$I$21)</f>
        <v>1</v>
      </c>
      <c r="AI16" s="6">
        <f>_xll.qlBondCleanPrice(P16,AH16)</f>
        <v>141.80000000000001</v>
      </c>
    </row>
    <row r="17" spans="1:35" ht="13.5" x14ac:dyDescent="0.2">
      <c r="A17" s="49" t="s">
        <v>107</v>
      </c>
      <c r="B17" s="55">
        <f t="shared" si="13"/>
        <v>42303</v>
      </c>
      <c r="C17" s="60" t="str">
        <f t="array" ref="C17">_xll.qlSchedule(N17,D17,E17,F17,G17,H17,I17,J17,K17,L17,M17)</f>
        <v>BTP11268D#0017</v>
      </c>
      <c r="D17" s="62">
        <f t="shared" si="14"/>
        <v>42303</v>
      </c>
      <c r="E17" s="64">
        <f>DATE(2046,9,1)</f>
        <v>53571</v>
      </c>
      <c r="F17" s="61" t="str">
        <f t="shared" si="15"/>
        <v>11268D</v>
      </c>
      <c r="G17" s="61" t="s">
        <v>140</v>
      </c>
      <c r="H17" s="61" t="s">
        <v>141</v>
      </c>
      <c r="I17" s="61" t="str">
        <f t="shared" si="8"/>
        <v>Unadjusted</v>
      </c>
      <c r="J17" s="61" t="s">
        <v>15</v>
      </c>
      <c r="K17" s="61" t="b">
        <v>0</v>
      </c>
      <c r="L17" s="62"/>
      <c r="M17" s="62"/>
      <c r="N17" s="61" t="str">
        <f t="shared" si="16"/>
        <v>BTP11268D</v>
      </c>
      <c r="O17" s="61" t="s">
        <v>145</v>
      </c>
      <c r="P17" s="54" t="str">
        <f>_xll.qlFixedRateBond(Q17,R17,S17,T17,U17,V17,W17,X17,Y17,Z17,AA17,AB17)</f>
        <v>bondBTP11268D#0020</v>
      </c>
      <c r="Q17" t="str">
        <f t="shared" si="1"/>
        <v>bondBTP11268D</v>
      </c>
      <c r="R17" t="str">
        <f t="shared" si="2"/>
        <v>bondBTP11268D</v>
      </c>
      <c r="S17" s="54" t="s">
        <v>178</v>
      </c>
      <c r="T17">
        <f t="shared" si="9"/>
        <v>2</v>
      </c>
      <c r="U17">
        <f t="shared" si="10"/>
        <v>100</v>
      </c>
      <c r="V17" t="str">
        <f t="shared" si="3"/>
        <v>BTP11268D#0017</v>
      </c>
      <c r="W17" s="98">
        <f>VLOOKUP(E17,DAti_MF!D15:Z16,23,FALSE)/100</f>
        <v>3.2500000000000001E-2</v>
      </c>
      <c r="X17" s="65" t="s">
        <v>57</v>
      </c>
      <c r="Y17" s="54" t="s">
        <v>141</v>
      </c>
      <c r="Z17">
        <f t="shared" si="11"/>
        <v>100</v>
      </c>
      <c r="AA17" s="55">
        <f t="shared" si="4"/>
        <v>38961</v>
      </c>
      <c r="AB17" s="65" t="s">
        <v>140</v>
      </c>
      <c r="AC17" s="57" t="str">
        <f>_xll.qlBondHelper(AD17,AE17,AF17,AG17)</f>
        <v>BondHelperbondBTP11268D#0021</v>
      </c>
      <c r="AD17" t="str">
        <f t="shared" si="5"/>
        <v>BondHelperbondBTP11268D</v>
      </c>
      <c r="AE17" s="94">
        <f>VLOOKUP(E17,DAti_MF!$D$2:$G$16,4,FALSE)</f>
        <v>114.08</v>
      </c>
      <c r="AF17" t="str">
        <f t="shared" si="6"/>
        <v>bondBTP11268D#0020</v>
      </c>
      <c r="AG17" s="54" t="b">
        <v>1</v>
      </c>
      <c r="AH17" s="5" t="b">
        <f>_xll.qlInstrumentSetPricingEngine(P17,BondCurve!$I$21)</f>
        <v>1</v>
      </c>
      <c r="AI17" s="6">
        <f>_xll.qlBondCleanPrice(P17,AH17)</f>
        <v>114.08000000000001</v>
      </c>
    </row>
    <row r="18" spans="1:35" ht="13.5" x14ac:dyDescent="0.2">
      <c r="A18" s="50" t="s">
        <v>108</v>
      </c>
      <c r="P18" s="54"/>
      <c r="AG18" s="54"/>
      <c r="AH18" s="5"/>
      <c r="AI18" s="6"/>
    </row>
    <row r="19" spans="1:35" ht="13.5" x14ac:dyDescent="0.2">
      <c r="A19" s="49" t="s">
        <v>109</v>
      </c>
      <c r="P19" s="54"/>
      <c r="AG19" s="54"/>
      <c r="AH19" s="5"/>
      <c r="AI19" s="6"/>
    </row>
    <row r="20" spans="1:35" x14ac:dyDescent="0.2">
      <c r="A20" s="41"/>
    </row>
    <row r="21" spans="1:35" ht="15" x14ac:dyDescent="0.2">
      <c r="A21" s="47" t="s">
        <v>110</v>
      </c>
    </row>
    <row r="23" spans="1:35" ht="14.25" x14ac:dyDescent="0.2">
      <c r="A23" s="51" t="s">
        <v>111</v>
      </c>
    </row>
    <row r="24" spans="1:35" x14ac:dyDescent="0.2">
      <c r="A24" s="41"/>
    </row>
    <row r="25" spans="1:35" ht="15" x14ac:dyDescent="0.2">
      <c r="A25" s="47" t="s">
        <v>112</v>
      </c>
    </row>
    <row r="27" spans="1:35" ht="14.25" x14ac:dyDescent="0.2">
      <c r="A27" s="51" t="s">
        <v>113</v>
      </c>
    </row>
    <row r="28" spans="1:35" x14ac:dyDescent="0.2">
      <c r="A28" s="41"/>
    </row>
    <row r="29" spans="1:35" ht="15" x14ac:dyDescent="0.2">
      <c r="A29" s="47" t="s">
        <v>114</v>
      </c>
    </row>
    <row r="30" spans="1:35" ht="15" x14ac:dyDescent="0.2">
      <c r="A30" s="52" t="s">
        <v>115</v>
      </c>
      <c r="B30" s="53" t="s">
        <v>116</v>
      </c>
    </row>
    <row r="31" spans="1:35" ht="15" x14ac:dyDescent="0.2">
      <c r="A31" s="52" t="s">
        <v>117</v>
      </c>
      <c r="B31" s="53" t="s">
        <v>118</v>
      </c>
    </row>
    <row r="32" spans="1:35" ht="15" x14ac:dyDescent="0.2">
      <c r="A32" s="52" t="s">
        <v>119</v>
      </c>
      <c r="B32" s="53" t="s">
        <v>120</v>
      </c>
    </row>
    <row r="33" spans="1:2" ht="28.5" x14ac:dyDescent="0.2">
      <c r="A33" s="52" t="s">
        <v>5</v>
      </c>
      <c r="B33" s="53" t="s">
        <v>121</v>
      </c>
    </row>
    <row r="34" spans="1:2" ht="15" x14ac:dyDescent="0.2">
      <c r="A34" s="52" t="s">
        <v>6</v>
      </c>
      <c r="B34" s="53" t="s">
        <v>122</v>
      </c>
    </row>
    <row r="35" spans="1:2" ht="28.5" x14ac:dyDescent="0.2">
      <c r="A35" s="52" t="s">
        <v>7</v>
      </c>
      <c r="B35" s="53" t="s">
        <v>123</v>
      </c>
    </row>
    <row r="36" spans="1:2" ht="28.5" x14ac:dyDescent="0.2">
      <c r="A36" s="52" t="s">
        <v>124</v>
      </c>
      <c r="B36" s="53" t="s">
        <v>125</v>
      </c>
    </row>
    <row r="37" spans="1:2" ht="28.5" x14ac:dyDescent="0.2">
      <c r="A37" s="52" t="s">
        <v>8</v>
      </c>
      <c r="B37" s="53" t="s">
        <v>126</v>
      </c>
    </row>
    <row r="38" spans="1:2" ht="28.5" x14ac:dyDescent="0.2">
      <c r="A38" s="52" t="s">
        <v>127</v>
      </c>
      <c r="B38" s="53" t="s">
        <v>128</v>
      </c>
    </row>
    <row r="39" spans="1:2" ht="28.5" x14ac:dyDescent="0.2">
      <c r="A39" s="52" t="s">
        <v>129</v>
      </c>
      <c r="B39" s="53" t="s">
        <v>130</v>
      </c>
    </row>
    <row r="40" spans="1:2" ht="28.5" x14ac:dyDescent="0.2">
      <c r="A40" s="52" t="s">
        <v>131</v>
      </c>
      <c r="B40" s="53" t="s">
        <v>132</v>
      </c>
    </row>
    <row r="41" spans="1:2" ht="15" x14ac:dyDescent="0.2">
      <c r="A41" s="52" t="s">
        <v>133</v>
      </c>
      <c r="B41" s="53" t="s">
        <v>134</v>
      </c>
    </row>
    <row r="42" spans="1:2" ht="15" x14ac:dyDescent="0.2">
      <c r="A42" s="52" t="s">
        <v>135</v>
      </c>
      <c r="B42" s="53" t="s">
        <v>136</v>
      </c>
    </row>
    <row r="43" spans="1:2" ht="15" x14ac:dyDescent="0.2">
      <c r="A43" s="52" t="s">
        <v>137</v>
      </c>
      <c r="B43" s="53" t="s">
        <v>138</v>
      </c>
    </row>
    <row r="49" spans="1:1" ht="15.75" thickBot="1" x14ac:dyDescent="0.25">
      <c r="A49" s="47" t="s">
        <v>146</v>
      </c>
    </row>
    <row r="50" spans="1:1" ht="12" thickBot="1" x14ac:dyDescent="0.25">
      <c r="A50" s="48"/>
    </row>
    <row r="51" spans="1:1" ht="13.5" x14ac:dyDescent="0.2">
      <c r="A51" s="49" t="s">
        <v>94</v>
      </c>
    </row>
    <row r="52" spans="1:1" ht="13.5" x14ac:dyDescent="0.2">
      <c r="A52" s="50" t="s">
        <v>147</v>
      </c>
    </row>
    <row r="53" spans="1:1" ht="13.5" x14ac:dyDescent="0.2">
      <c r="A53" s="49" t="s">
        <v>96</v>
      </c>
    </row>
    <row r="54" spans="1:1" ht="13.5" x14ac:dyDescent="0.2">
      <c r="A54" s="49" t="s">
        <v>148</v>
      </c>
    </row>
    <row r="55" spans="1:1" ht="13.5" x14ac:dyDescent="0.2">
      <c r="A55" s="49" t="s">
        <v>149</v>
      </c>
    </row>
    <row r="56" spans="1:1" ht="13.5" x14ac:dyDescent="0.2">
      <c r="A56" s="49" t="s">
        <v>150</v>
      </c>
    </row>
    <row r="57" spans="1:1" ht="13.5" x14ac:dyDescent="0.2">
      <c r="A57" s="49" t="s">
        <v>151</v>
      </c>
    </row>
    <row r="58" spans="1:1" ht="13.5" x14ac:dyDescent="0.2">
      <c r="A58" s="49" t="s">
        <v>152</v>
      </c>
    </row>
    <row r="59" spans="1:1" ht="13.5" x14ac:dyDescent="0.2">
      <c r="A59" s="50" t="s">
        <v>153</v>
      </c>
    </row>
    <row r="60" spans="1:1" ht="13.5" x14ac:dyDescent="0.2">
      <c r="A60" s="49" t="s">
        <v>154</v>
      </c>
    </row>
    <row r="61" spans="1:1" ht="13.5" x14ac:dyDescent="0.2">
      <c r="A61" s="49" t="s">
        <v>155</v>
      </c>
    </row>
    <row r="62" spans="1:1" ht="13.5" x14ac:dyDescent="0.2">
      <c r="A62" s="49" t="s">
        <v>156</v>
      </c>
    </row>
    <row r="63" spans="1:1" ht="13.5" x14ac:dyDescent="0.2">
      <c r="A63" s="49" t="s">
        <v>157</v>
      </c>
    </row>
    <row r="64" spans="1:1" ht="13.5" x14ac:dyDescent="0.2">
      <c r="A64" s="49" t="s">
        <v>158</v>
      </c>
    </row>
    <row r="65" spans="1:2" ht="13.5" x14ac:dyDescent="0.2">
      <c r="A65" s="49" t="s">
        <v>107</v>
      </c>
    </row>
    <row r="66" spans="1:2" ht="13.5" x14ac:dyDescent="0.2">
      <c r="A66" s="50" t="s">
        <v>108</v>
      </c>
    </row>
    <row r="67" spans="1:2" ht="13.5" x14ac:dyDescent="0.2">
      <c r="A67" s="49" t="s">
        <v>109</v>
      </c>
    </row>
    <row r="68" spans="1:2" x14ac:dyDescent="0.2">
      <c r="A68" s="41"/>
    </row>
    <row r="69" spans="1:2" ht="15" x14ac:dyDescent="0.2">
      <c r="A69" s="47" t="s">
        <v>110</v>
      </c>
    </row>
    <row r="71" spans="1:2" ht="14.25" x14ac:dyDescent="0.2">
      <c r="A71" s="51" t="s">
        <v>159</v>
      </c>
    </row>
    <row r="72" spans="1:2" x14ac:dyDescent="0.2">
      <c r="A72" s="41"/>
    </row>
    <row r="73" spans="1:2" ht="15" x14ac:dyDescent="0.2">
      <c r="A73" s="47" t="s">
        <v>112</v>
      </c>
    </row>
    <row r="75" spans="1:2" ht="14.25" x14ac:dyDescent="0.2">
      <c r="A75" s="51" t="s">
        <v>113</v>
      </c>
    </row>
    <row r="76" spans="1:2" x14ac:dyDescent="0.2">
      <c r="A76" s="41"/>
    </row>
    <row r="77" spans="1:2" ht="15" x14ac:dyDescent="0.2">
      <c r="A77" s="47" t="s">
        <v>114</v>
      </c>
    </row>
    <row r="78" spans="1:2" ht="15" x14ac:dyDescent="0.2">
      <c r="A78" s="52" t="s">
        <v>115</v>
      </c>
      <c r="B78" s="53" t="s">
        <v>116</v>
      </c>
    </row>
    <row r="79" spans="1:2" ht="28.5" x14ac:dyDescent="0.2">
      <c r="A79" s="52" t="s">
        <v>1</v>
      </c>
      <c r="B79" s="53" t="s">
        <v>160</v>
      </c>
    </row>
    <row r="80" spans="1:2" ht="15" x14ac:dyDescent="0.2">
      <c r="A80" s="52" t="s">
        <v>161</v>
      </c>
      <c r="B80" s="53" t="s">
        <v>162</v>
      </c>
    </row>
    <row r="81" spans="1:2" ht="15" x14ac:dyDescent="0.2">
      <c r="A81" s="52" t="s">
        <v>163</v>
      </c>
      <c r="B81" s="53" t="s">
        <v>164</v>
      </c>
    </row>
    <row r="82" spans="1:2" ht="15" x14ac:dyDescent="0.2">
      <c r="A82" s="52" t="s">
        <v>165</v>
      </c>
      <c r="B82" s="53" t="s">
        <v>166</v>
      </c>
    </row>
    <row r="83" spans="1:2" ht="15" x14ac:dyDescent="0.2">
      <c r="A83" s="52" t="s">
        <v>4</v>
      </c>
      <c r="B83" s="53" t="s">
        <v>167</v>
      </c>
    </row>
    <row r="84" spans="1:2" ht="15" x14ac:dyDescent="0.2">
      <c r="A84" s="52" t="s">
        <v>2</v>
      </c>
      <c r="B84" s="53" t="s">
        <v>168</v>
      </c>
    </row>
    <row r="85" spans="1:2" ht="15" x14ac:dyDescent="0.2">
      <c r="A85" s="52" t="s">
        <v>3</v>
      </c>
      <c r="B85" s="53" t="s">
        <v>169</v>
      </c>
    </row>
    <row r="86" spans="1:2" ht="15" x14ac:dyDescent="0.2">
      <c r="A86" s="52" t="s">
        <v>170</v>
      </c>
      <c r="B86" s="53" t="s">
        <v>171</v>
      </c>
    </row>
    <row r="87" spans="1:2" ht="15" x14ac:dyDescent="0.2">
      <c r="A87" s="52" t="s">
        <v>172</v>
      </c>
      <c r="B87" s="53" t="s">
        <v>173</v>
      </c>
    </row>
    <row r="88" spans="1:2" ht="28.5" x14ac:dyDescent="0.2">
      <c r="A88" s="52" t="s">
        <v>174</v>
      </c>
      <c r="B88" s="53" t="s">
        <v>175</v>
      </c>
    </row>
    <row r="89" spans="1:2" ht="15" x14ac:dyDescent="0.2">
      <c r="A89" s="52" t="s">
        <v>176</v>
      </c>
      <c r="B89" s="53" t="s">
        <v>177</v>
      </c>
    </row>
    <row r="90" spans="1:2" ht="15" x14ac:dyDescent="0.2">
      <c r="A90" s="52" t="s">
        <v>133</v>
      </c>
      <c r="B90" s="53" t="s">
        <v>134</v>
      </c>
    </row>
    <row r="91" spans="1:2" ht="15" x14ac:dyDescent="0.2">
      <c r="A91" s="52" t="s">
        <v>135</v>
      </c>
      <c r="B91" s="53" t="s">
        <v>136</v>
      </c>
    </row>
    <row r="92" spans="1:2" ht="15" x14ac:dyDescent="0.2">
      <c r="A92" s="52" t="s">
        <v>137</v>
      </c>
      <c r="B92" s="53" t="s">
        <v>138</v>
      </c>
    </row>
    <row r="97" spans="1:1" ht="15.75" thickBot="1" x14ac:dyDescent="0.25">
      <c r="A97" s="47" t="s">
        <v>180</v>
      </c>
    </row>
    <row r="98" spans="1:1" ht="12" thickBot="1" x14ac:dyDescent="0.25">
      <c r="A98" s="48"/>
    </row>
    <row r="99" spans="1:1" ht="13.5" x14ac:dyDescent="0.2">
      <c r="A99" s="49" t="s">
        <v>94</v>
      </c>
    </row>
    <row r="100" spans="1:1" ht="13.5" x14ac:dyDescent="0.2">
      <c r="A100" s="50" t="s">
        <v>181</v>
      </c>
    </row>
    <row r="101" spans="1:1" ht="13.5" x14ac:dyDescent="0.2">
      <c r="A101" s="49" t="s">
        <v>96</v>
      </c>
    </row>
    <row r="102" spans="1:1" ht="13.5" x14ac:dyDescent="0.2">
      <c r="A102" s="49" t="s">
        <v>182</v>
      </c>
    </row>
    <row r="103" spans="1:1" ht="13.5" x14ac:dyDescent="0.2">
      <c r="A103" s="49" t="s">
        <v>183</v>
      </c>
    </row>
    <row r="104" spans="1:1" ht="13.5" x14ac:dyDescent="0.2">
      <c r="A104" s="49" t="s">
        <v>184</v>
      </c>
    </row>
    <row r="105" spans="1:1" ht="13.5" x14ac:dyDescent="0.2">
      <c r="A105" s="49" t="s">
        <v>107</v>
      </c>
    </row>
    <row r="106" spans="1:1" ht="13.5" x14ac:dyDescent="0.2">
      <c r="A106" s="50" t="s">
        <v>108</v>
      </c>
    </row>
    <row r="107" spans="1:1" ht="13.5" x14ac:dyDescent="0.2">
      <c r="A107" s="49" t="s">
        <v>109</v>
      </c>
    </row>
    <row r="108" spans="1:1" x14ac:dyDescent="0.2">
      <c r="A108" s="41"/>
    </row>
    <row r="109" spans="1:1" ht="15" x14ac:dyDescent="0.2">
      <c r="A109" s="47" t="s">
        <v>110</v>
      </c>
    </row>
    <row r="111" spans="1:1" ht="14.25" x14ac:dyDescent="0.2">
      <c r="A111" s="51" t="s">
        <v>185</v>
      </c>
    </row>
    <row r="112" spans="1:1" x14ac:dyDescent="0.2">
      <c r="A112" s="41"/>
    </row>
    <row r="113" spans="1:2" ht="15" x14ac:dyDescent="0.2">
      <c r="A113" s="47" t="s">
        <v>112</v>
      </c>
    </row>
    <row r="115" spans="1:2" ht="14.25" x14ac:dyDescent="0.2">
      <c r="A115" s="51" t="s">
        <v>113</v>
      </c>
    </row>
    <row r="116" spans="1:2" x14ac:dyDescent="0.2">
      <c r="A116" s="41"/>
    </row>
    <row r="117" spans="1:2" ht="15" x14ac:dyDescent="0.2">
      <c r="A117" s="47" t="s">
        <v>114</v>
      </c>
    </row>
    <row r="118" spans="1:2" ht="15" x14ac:dyDescent="0.2">
      <c r="A118" s="52" t="s">
        <v>115</v>
      </c>
      <c r="B118" s="53" t="s">
        <v>116</v>
      </c>
    </row>
    <row r="119" spans="1:2" ht="15" x14ac:dyDescent="0.2">
      <c r="A119" s="52" t="s">
        <v>56</v>
      </c>
      <c r="B119" s="53" t="s">
        <v>186</v>
      </c>
    </row>
    <row r="120" spans="1:2" ht="15" x14ac:dyDescent="0.2">
      <c r="A120" s="52" t="s">
        <v>187</v>
      </c>
      <c r="B120" s="53" t="s">
        <v>188</v>
      </c>
    </row>
    <row r="121" spans="1:2" ht="28.5" x14ac:dyDescent="0.2">
      <c r="A121" s="52" t="s">
        <v>189</v>
      </c>
      <c r="B121" s="53" t="s">
        <v>190</v>
      </c>
    </row>
    <row r="122" spans="1:2" ht="15" x14ac:dyDescent="0.2">
      <c r="A122" s="52" t="s">
        <v>133</v>
      </c>
      <c r="B122" s="53" t="s">
        <v>134</v>
      </c>
    </row>
    <row r="123" spans="1:2" ht="15" x14ac:dyDescent="0.2">
      <c r="A123" s="52" t="s">
        <v>135</v>
      </c>
      <c r="B123" s="53" t="s">
        <v>136</v>
      </c>
    </row>
    <row r="124" spans="1:2" ht="15" x14ac:dyDescent="0.2">
      <c r="A124" s="52" t="s">
        <v>137</v>
      </c>
      <c r="B124" s="53" t="s">
        <v>138</v>
      </c>
    </row>
    <row r="130" spans="1:1" ht="15.75" thickBot="1" x14ac:dyDescent="0.25">
      <c r="A130" s="47" t="s">
        <v>192</v>
      </c>
    </row>
    <row r="131" spans="1:1" ht="12" thickBot="1" x14ac:dyDescent="0.25">
      <c r="A131" s="48"/>
    </row>
    <row r="132" spans="1:1" ht="13.5" x14ac:dyDescent="0.2">
      <c r="A132" s="49" t="s">
        <v>94</v>
      </c>
    </row>
    <row r="133" spans="1:1" ht="13.5" x14ac:dyDescent="0.2">
      <c r="A133" s="50" t="s">
        <v>193</v>
      </c>
    </row>
    <row r="134" spans="1:1" ht="13.5" x14ac:dyDescent="0.2">
      <c r="A134" s="49" t="s">
        <v>96</v>
      </c>
    </row>
    <row r="135" spans="1:1" ht="13.5" x14ac:dyDescent="0.2">
      <c r="A135" s="49" t="s">
        <v>194</v>
      </c>
    </row>
    <row r="136" spans="1:1" ht="13.5" x14ac:dyDescent="0.2">
      <c r="A136" s="49" t="s">
        <v>100</v>
      </c>
    </row>
    <row r="137" spans="1:1" ht="13.5" x14ac:dyDescent="0.2">
      <c r="A137" s="50" t="s">
        <v>195</v>
      </c>
    </row>
    <row r="138" spans="1:1" ht="13.5" x14ac:dyDescent="0.2">
      <c r="A138" s="49" t="s">
        <v>154</v>
      </c>
    </row>
    <row r="139" spans="1:1" ht="13.5" x14ac:dyDescent="0.2">
      <c r="A139" s="50" t="s">
        <v>196</v>
      </c>
    </row>
    <row r="140" spans="1:1" ht="13.5" x14ac:dyDescent="0.2">
      <c r="A140" s="50" t="s">
        <v>197</v>
      </c>
    </row>
    <row r="141" spans="1:1" ht="13.5" x14ac:dyDescent="0.2">
      <c r="A141" s="49" t="s">
        <v>198</v>
      </c>
    </row>
    <row r="142" spans="1:1" ht="13.5" x14ac:dyDescent="0.2">
      <c r="A142" s="49" t="s">
        <v>199</v>
      </c>
    </row>
    <row r="143" spans="1:1" ht="13.5" x14ac:dyDescent="0.2">
      <c r="A143" s="49" t="s">
        <v>200</v>
      </c>
    </row>
    <row r="144" spans="1:1" ht="13.5" x14ac:dyDescent="0.2">
      <c r="A144" s="49" t="s">
        <v>107</v>
      </c>
    </row>
    <row r="145" spans="1:2" ht="13.5" x14ac:dyDescent="0.2">
      <c r="A145" s="50" t="s">
        <v>108</v>
      </c>
    </row>
    <row r="146" spans="1:2" ht="13.5" x14ac:dyDescent="0.2">
      <c r="A146" s="49" t="s">
        <v>109</v>
      </c>
    </row>
    <row r="147" spans="1:2" x14ac:dyDescent="0.2">
      <c r="A147" s="41"/>
    </row>
    <row r="148" spans="1:2" ht="15" x14ac:dyDescent="0.2">
      <c r="A148" s="47" t="s">
        <v>110</v>
      </c>
    </row>
    <row r="150" spans="1:2" ht="28.5" x14ac:dyDescent="0.2">
      <c r="A150" s="51" t="s">
        <v>201</v>
      </c>
    </row>
    <row r="151" spans="1:2" x14ac:dyDescent="0.2">
      <c r="A151" s="41"/>
    </row>
    <row r="152" spans="1:2" ht="15" x14ac:dyDescent="0.2">
      <c r="A152" s="47" t="s">
        <v>112</v>
      </c>
    </row>
    <row r="154" spans="1:2" ht="14.25" x14ac:dyDescent="0.2">
      <c r="A154" s="51" t="s">
        <v>113</v>
      </c>
    </row>
    <row r="155" spans="1:2" x14ac:dyDescent="0.2">
      <c r="A155" s="41"/>
    </row>
    <row r="156" spans="1:2" ht="15" x14ac:dyDescent="0.2">
      <c r="A156" s="47" t="s">
        <v>114</v>
      </c>
    </row>
    <row r="157" spans="1:2" ht="15" x14ac:dyDescent="0.2">
      <c r="A157" s="52" t="s">
        <v>115</v>
      </c>
      <c r="B157" s="53" t="s">
        <v>116</v>
      </c>
    </row>
    <row r="158" spans="1:2" ht="42.75" x14ac:dyDescent="0.2">
      <c r="A158" s="52" t="s">
        <v>202</v>
      </c>
      <c r="B158" s="53" t="s">
        <v>203</v>
      </c>
    </row>
    <row r="159" spans="1:2" ht="28.5" x14ac:dyDescent="0.2">
      <c r="A159" s="52" t="s">
        <v>6</v>
      </c>
      <c r="B159" s="53" t="s">
        <v>204</v>
      </c>
    </row>
    <row r="160" spans="1:2" ht="15" x14ac:dyDescent="0.2">
      <c r="A160" s="52" t="s">
        <v>205</v>
      </c>
      <c r="B160" s="53" t="s">
        <v>206</v>
      </c>
    </row>
    <row r="161" spans="1:2" ht="15" x14ac:dyDescent="0.2">
      <c r="A161" s="52" t="s">
        <v>3</v>
      </c>
      <c r="B161" s="53" t="s">
        <v>207</v>
      </c>
    </row>
    <row r="162" spans="1:2" ht="15" x14ac:dyDescent="0.2">
      <c r="A162" s="52" t="s">
        <v>208</v>
      </c>
      <c r="B162" s="53" t="s">
        <v>209</v>
      </c>
    </row>
    <row r="163" spans="1:2" ht="15" x14ac:dyDescent="0.2">
      <c r="A163" s="52" t="s">
        <v>210</v>
      </c>
      <c r="B163" s="53" t="s">
        <v>211</v>
      </c>
    </row>
    <row r="164" spans="1:2" ht="15" x14ac:dyDescent="0.2">
      <c r="A164" s="52" t="s">
        <v>212</v>
      </c>
      <c r="B164" s="53" t="s">
        <v>213</v>
      </c>
    </row>
    <row r="165" spans="1:2" ht="15" x14ac:dyDescent="0.2">
      <c r="A165" s="52" t="s">
        <v>214</v>
      </c>
      <c r="B165" s="53" t="s">
        <v>215</v>
      </c>
    </row>
    <row r="166" spans="1:2" ht="28.5" x14ac:dyDescent="0.2">
      <c r="A166" s="52" t="s">
        <v>216</v>
      </c>
      <c r="B166" s="53" t="s">
        <v>217</v>
      </c>
    </row>
    <row r="167" spans="1:2" ht="15" x14ac:dyDescent="0.2">
      <c r="A167" s="52" t="s">
        <v>133</v>
      </c>
      <c r="B167" s="53" t="s">
        <v>134</v>
      </c>
    </row>
    <row r="168" spans="1:2" ht="15" x14ac:dyDescent="0.2">
      <c r="A168" s="52" t="s">
        <v>135</v>
      </c>
      <c r="B168" s="53" t="s">
        <v>136</v>
      </c>
    </row>
    <row r="169" spans="1:2" ht="15" x14ac:dyDescent="0.2">
      <c r="A169" s="52" t="s">
        <v>137</v>
      </c>
      <c r="B169" s="53" t="s">
        <v>138</v>
      </c>
    </row>
    <row r="175" spans="1:2" ht="15.75" thickBot="1" x14ac:dyDescent="0.25">
      <c r="A175" s="47" t="s">
        <v>224</v>
      </c>
    </row>
    <row r="176" spans="1:2" ht="12" thickBot="1" x14ac:dyDescent="0.25">
      <c r="A176" s="48"/>
    </row>
    <row r="177" spans="1:1" ht="13.5" x14ac:dyDescent="0.2">
      <c r="A177" s="49" t="s">
        <v>94</v>
      </c>
    </row>
    <row r="178" spans="1:1" ht="13.5" x14ac:dyDescent="0.2">
      <c r="A178" s="50" t="s">
        <v>225</v>
      </c>
    </row>
    <row r="179" spans="1:1" ht="13.5" x14ac:dyDescent="0.2">
      <c r="A179" s="49" t="s">
        <v>96</v>
      </c>
    </row>
    <row r="180" spans="1:1" ht="13.5" x14ac:dyDescent="0.2">
      <c r="A180" s="49" t="s">
        <v>226</v>
      </c>
    </row>
    <row r="181" spans="1:1" ht="13.5" x14ac:dyDescent="0.2">
      <c r="A181" s="49" t="s">
        <v>107</v>
      </c>
    </row>
    <row r="182" spans="1:1" ht="13.5" x14ac:dyDescent="0.2">
      <c r="A182" s="50" t="s">
        <v>108</v>
      </c>
    </row>
    <row r="183" spans="1:1" ht="13.5" x14ac:dyDescent="0.2">
      <c r="A183" s="49" t="s">
        <v>109</v>
      </c>
    </row>
    <row r="184" spans="1:1" x14ac:dyDescent="0.2">
      <c r="A184" s="41"/>
    </row>
    <row r="185" spans="1:1" ht="15" x14ac:dyDescent="0.2">
      <c r="A185" s="47" t="s">
        <v>110</v>
      </c>
    </row>
    <row r="187" spans="1:1" ht="14.25" x14ac:dyDescent="0.2">
      <c r="A187" s="51" t="s">
        <v>227</v>
      </c>
    </row>
    <row r="188" spans="1:1" x14ac:dyDescent="0.2">
      <c r="A188" s="41"/>
    </row>
    <row r="189" spans="1:1" ht="15" x14ac:dyDescent="0.2">
      <c r="A189" s="47" t="s">
        <v>112</v>
      </c>
    </row>
    <row r="191" spans="1:1" ht="14.25" x14ac:dyDescent="0.2">
      <c r="A191" s="51" t="s">
        <v>113</v>
      </c>
    </row>
    <row r="192" spans="1:1" x14ac:dyDescent="0.2">
      <c r="A192" s="41"/>
    </row>
    <row r="193" spans="1:2" ht="15" x14ac:dyDescent="0.2">
      <c r="A193" s="47" t="s">
        <v>114</v>
      </c>
    </row>
    <row r="194" spans="1:2" ht="15" x14ac:dyDescent="0.2">
      <c r="A194" s="52" t="s">
        <v>115</v>
      </c>
      <c r="B194" s="53" t="s">
        <v>116</v>
      </c>
    </row>
    <row r="195" spans="1:2" ht="15" x14ac:dyDescent="0.2">
      <c r="A195" s="52" t="s">
        <v>228</v>
      </c>
      <c r="B195" s="53" t="s">
        <v>229</v>
      </c>
    </row>
    <row r="196" spans="1:2" ht="15" x14ac:dyDescent="0.2">
      <c r="A196" s="52" t="s">
        <v>133</v>
      </c>
      <c r="B196" s="53" t="s">
        <v>134</v>
      </c>
    </row>
    <row r="197" spans="1:2" ht="15" x14ac:dyDescent="0.2">
      <c r="A197" s="52" t="s">
        <v>135</v>
      </c>
      <c r="B197" s="53" t="s">
        <v>136</v>
      </c>
    </row>
    <row r="198" spans="1:2" ht="15" x14ac:dyDescent="0.2">
      <c r="A198" s="52" t="s">
        <v>137</v>
      </c>
      <c r="B198" s="53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abSelected="1" workbookViewId="0">
      <selection activeCell="D36" sqref="D36"/>
    </sheetView>
  </sheetViews>
  <sheetFormatPr defaultRowHeight="11.25" x14ac:dyDescent="0.2"/>
  <cols>
    <col min="1" max="1" width="21.6640625" bestFit="1" customWidth="1"/>
    <col min="2" max="2" width="16.33203125" bestFit="1" customWidth="1"/>
    <col min="3" max="3" width="6.5" bestFit="1" customWidth="1"/>
    <col min="4" max="4" width="8.33203125" bestFit="1" customWidth="1"/>
    <col min="5" max="5" width="29.5" bestFit="1" customWidth="1"/>
    <col min="6" max="6" width="10.6640625" bestFit="1" customWidth="1"/>
    <col min="7" max="7" width="12.83203125" customWidth="1"/>
    <col min="8" max="8" width="10" bestFit="1" customWidth="1"/>
    <col min="9" max="9" width="19.6640625" bestFit="1" customWidth="1"/>
    <col min="10" max="10" width="14.5" bestFit="1" customWidth="1"/>
    <col min="11" max="11" width="21.6640625" bestFit="1" customWidth="1"/>
    <col min="12" max="12" width="9.6640625" bestFit="1" customWidth="1"/>
    <col min="13" max="13" width="6.83203125" bestFit="1" customWidth="1"/>
  </cols>
  <sheetData>
    <row r="1" spans="1:14" x14ac:dyDescent="0.2">
      <c r="A1" s="69" t="s">
        <v>231</v>
      </c>
      <c r="B1" s="72" t="s">
        <v>115</v>
      </c>
      <c r="C1" s="72" t="s">
        <v>202</v>
      </c>
      <c r="D1" s="72" t="s">
        <v>6</v>
      </c>
      <c r="E1" s="72" t="s">
        <v>205</v>
      </c>
      <c r="F1" s="72" t="s">
        <v>3</v>
      </c>
      <c r="G1" s="72" t="s">
        <v>208</v>
      </c>
      <c r="H1" s="72" t="s">
        <v>210</v>
      </c>
      <c r="I1" s="69" t="s">
        <v>212</v>
      </c>
      <c r="J1" s="69" t="s">
        <v>214</v>
      </c>
      <c r="K1" s="72" t="s">
        <v>216</v>
      </c>
      <c r="L1" s="72" t="s">
        <v>133</v>
      </c>
      <c r="M1" s="72" t="s">
        <v>135</v>
      </c>
      <c r="N1" s="72" t="s">
        <v>137</v>
      </c>
    </row>
    <row r="2" spans="1:14" x14ac:dyDescent="0.2">
      <c r="A2" t="str">
        <f>_xll.qlPiecewiseYieldCurve(B2,C2,D2,E2:E16,F2,G2,H2,I2,J2,K2)</f>
        <v>ITALY_BondCurve#0032</v>
      </c>
      <c r="B2" s="54" t="s">
        <v>218</v>
      </c>
      <c r="C2">
        <v>2</v>
      </c>
      <c r="D2" s="54" t="s">
        <v>140</v>
      </c>
      <c r="E2" s="72" t="str">
        <f>+BondCurveInputData!AC3</f>
        <v>BondHelperbondBOT80D#0024</v>
      </c>
      <c r="F2" s="54" t="s">
        <v>219</v>
      </c>
      <c r="K2" s="68" t="s">
        <v>235</v>
      </c>
    </row>
    <row r="3" spans="1:14" x14ac:dyDescent="0.2">
      <c r="E3" s="72" t="str">
        <f>+BondCurveInputData!AC4</f>
        <v>BondHelperbondBOT157D#0021</v>
      </c>
    </row>
    <row r="4" spans="1:14" x14ac:dyDescent="0.2">
      <c r="E4" s="72" t="str">
        <f>+BondCurveInputData!AC5</f>
        <v>BondHelperbondBOT354D#0021</v>
      </c>
    </row>
    <row r="5" spans="1:14" x14ac:dyDescent="0.2">
      <c r="E5" s="72" t="str">
        <f>+BondCurveInputData!AC6</f>
        <v>BondHelperbondBTP567D#0021</v>
      </c>
    </row>
    <row r="6" spans="1:14" x14ac:dyDescent="0.2">
      <c r="E6" s="72" t="str">
        <f>+BondCurveInputData!AC7</f>
        <v>BondHelperbondBTP932D#0021</v>
      </c>
    </row>
    <row r="7" spans="1:14" x14ac:dyDescent="0.2">
      <c r="E7" s="72" t="str">
        <f>+BondCurveInputData!AC8</f>
        <v>BondHelperbondBTP1283D#0021</v>
      </c>
    </row>
    <row r="8" spans="1:14" x14ac:dyDescent="0.2">
      <c r="E8" s="72" t="str">
        <f>+BondCurveInputData!AC9</f>
        <v>BondHelperbondBTP1649D#0021</v>
      </c>
    </row>
    <row r="9" spans="1:14" x14ac:dyDescent="0.2">
      <c r="E9" s="72" t="str">
        <f>+BondCurveInputData!AC10</f>
        <v>BondHelperbondBTP2014D#0021</v>
      </c>
    </row>
    <row r="10" spans="1:14" x14ac:dyDescent="0.2">
      <c r="E10" s="72" t="str">
        <f>+BondCurveInputData!AC11</f>
        <v>BondHelperbondBTP2363D#0021</v>
      </c>
    </row>
    <row r="11" spans="1:14" x14ac:dyDescent="0.2">
      <c r="E11" s="72" t="str">
        <f>+BondCurveInputData!AC12</f>
        <v>BondHelperbondBTP2744D#0021</v>
      </c>
    </row>
    <row r="12" spans="1:14" x14ac:dyDescent="0.2">
      <c r="E12" s="72" t="str">
        <f>+BondCurveInputData!AC13</f>
        <v>BondHelperbondBTP3049D#0021</v>
      </c>
    </row>
    <row r="13" spans="1:14" x14ac:dyDescent="0.2">
      <c r="E13" s="72" t="str">
        <f>+BondCurveInputData!AC14</f>
        <v>BondHelperbondBTP3506D#0021</v>
      </c>
    </row>
    <row r="14" spans="1:14" x14ac:dyDescent="0.2">
      <c r="E14" s="72" t="str">
        <f>+BondCurveInputData!AC15</f>
        <v>BondHelperbondBTP5971D#0021</v>
      </c>
    </row>
    <row r="15" spans="1:14" x14ac:dyDescent="0.2">
      <c r="E15" s="72" t="str">
        <f>+BondCurveInputData!AC16</f>
        <v>BondHelperbondBTP6854D#0022</v>
      </c>
    </row>
    <row r="16" spans="1:14" x14ac:dyDescent="0.2">
      <c r="E16" s="72" t="str">
        <f>+BondCurveInputData!AC17</f>
        <v>BondHelperbondBTP11268D#0021</v>
      </c>
    </row>
    <row r="17" spans="2:11" x14ac:dyDescent="0.2">
      <c r="E17" s="72"/>
    </row>
    <row r="20" spans="2:11" x14ac:dyDescent="0.2">
      <c r="B20" s="69" t="s">
        <v>220</v>
      </c>
      <c r="C20" s="69" t="s">
        <v>221</v>
      </c>
      <c r="D20" s="69" t="s">
        <v>222</v>
      </c>
      <c r="E20" s="69" t="s">
        <v>223</v>
      </c>
      <c r="F20" s="75" t="s">
        <v>232</v>
      </c>
      <c r="I20" s="73" t="s">
        <v>16</v>
      </c>
      <c r="J20" s="73" t="s">
        <v>115</v>
      </c>
      <c r="K20" s="73" t="s">
        <v>228</v>
      </c>
    </row>
    <row r="21" spans="2:11" x14ac:dyDescent="0.2">
      <c r="B21" s="70">
        <f t="array" ref="B21:B36">_xll.qlPiecewiseYieldCurveDates($A$2)</f>
        <v>42305</v>
      </c>
      <c r="C21" s="71">
        <f t="array" ref="C21:C36">_xll.qlPiecewiseYieldCurveData(A2)</f>
        <v>1</v>
      </c>
      <c r="D21" s="72">
        <f>YEARFRAC($B$21,B21,3)</f>
        <v>0</v>
      </c>
      <c r="E21" s="72"/>
      <c r="F21" s="72"/>
      <c r="I21" s="72" t="str">
        <f>_xll.qlBondEngine(J21,K21)</f>
        <v>BOT&amp;BTPEngine#0032</v>
      </c>
      <c r="J21" s="69" t="s">
        <v>230</v>
      </c>
      <c r="K21" s="72" t="str">
        <f>+A2</f>
        <v>ITALY_BondCurve#0032</v>
      </c>
    </row>
    <row r="22" spans="2:11" x14ac:dyDescent="0.2">
      <c r="B22" s="70">
        <v>42383</v>
      </c>
      <c r="C22" s="71">
        <v>1.0001550000000001</v>
      </c>
      <c r="D22" s="72">
        <f t="shared" ref="D22:D35" si="0">YEARFRAC($B$21,B22,3)</f>
        <v>0.21369863013698631</v>
      </c>
      <c r="E22" s="95">
        <f>-LN(C22)/D22</f>
        <v>-7.2526430628929795E-4</v>
      </c>
      <c r="F22" s="76">
        <f>VLOOKUP(B22,BondCurveInputData!$E$3:$W$17,19,FALSE)</f>
        <v>0</v>
      </c>
      <c r="G22" s="97">
        <f>VLOOKUP(B22,DAti_MF!$D$2:$E$16,2,FALSE)/100</f>
        <v>-7.2499398000000004E-4</v>
      </c>
    </row>
    <row r="23" spans="2:11" x14ac:dyDescent="0.2">
      <c r="B23" s="70">
        <v>42460</v>
      </c>
      <c r="C23" s="71">
        <v>1.0002549999999999</v>
      </c>
      <c r="D23" s="72">
        <f t="shared" si="0"/>
        <v>0.42465753424657532</v>
      </c>
      <c r="E23" s="95">
        <f t="shared" ref="E23:E36" si="1">-LN(C23)/D23</f>
        <v>-6.0040732228694373E-4</v>
      </c>
      <c r="F23" s="76">
        <f>VLOOKUP(B23,BondCurveInputData!$E$3:$W$17,19,FALSE)</f>
        <v>0</v>
      </c>
      <c r="G23" s="97">
        <f>VLOOKUP(B23,DAti_MF!$D$2:$E$16,2,FALSE)/100</f>
        <v>-6.0036775000000002E-4</v>
      </c>
    </row>
    <row r="24" spans="2:11" x14ac:dyDescent="0.2">
      <c r="B24" s="70">
        <v>42657</v>
      </c>
      <c r="C24" s="71">
        <v>1.000275</v>
      </c>
      <c r="D24" s="72">
        <f t="shared" si="0"/>
        <v>0.96438356164383565</v>
      </c>
      <c r="E24" s="95">
        <f t="shared" si="1"/>
        <v>-2.8511704820248268E-4</v>
      </c>
      <c r="F24" s="76">
        <f>VLOOKUP(B24,BondCurveInputData!$E$3:$W$17,19,FALSE)</f>
        <v>0</v>
      </c>
      <c r="G24" s="97">
        <f>VLOOKUP(B24,DAti_MF!$D$2:$E$16,2,FALSE)/100</f>
        <v>-2.8506037E-4</v>
      </c>
    </row>
    <row r="25" spans="2:11" x14ac:dyDescent="0.2">
      <c r="B25" s="70">
        <v>42870</v>
      </c>
      <c r="C25" s="71">
        <v>0.99968574112605613</v>
      </c>
      <c r="D25" s="72">
        <f t="shared" si="0"/>
        <v>1.547945205479452</v>
      </c>
      <c r="E25" s="95">
        <f t="shared" si="1"/>
        <v>2.0304870127114488E-4</v>
      </c>
      <c r="F25" s="76">
        <f>VLOOKUP(B25,BondCurveInputData!$E$3:$W$17,19,FALSE)</f>
        <v>1.15E-2</v>
      </c>
      <c r="G25" s="97">
        <f>VLOOKUP(B25,DAti_MF!$D$2:$E$16,2,FALSE)/100</f>
        <v>2.276678E-4</v>
      </c>
    </row>
    <row r="26" spans="2:11" x14ac:dyDescent="0.2">
      <c r="B26" s="70">
        <v>43235</v>
      </c>
      <c r="C26" s="71">
        <v>0.99616146354411261</v>
      </c>
      <c r="D26" s="72">
        <f t="shared" si="0"/>
        <v>2.547945205479452</v>
      </c>
      <c r="E26" s="95">
        <f t="shared" si="1"/>
        <v>1.5094212135787395E-3</v>
      </c>
      <c r="F26" s="76">
        <f>VLOOKUP(B26,BondCurveInputData!$E$3:$W$17,19,FALSE)</f>
        <v>2.5000000000000001E-3</v>
      </c>
      <c r="G26" s="97">
        <f>VLOOKUP(B26,DAti_MF!$D$2:$E$16,2,FALSE)/100</f>
        <v>1.5190080899999999E-3</v>
      </c>
    </row>
    <row r="27" spans="2:11" x14ac:dyDescent="0.2">
      <c r="B27" s="70">
        <v>43586</v>
      </c>
      <c r="C27" s="71">
        <v>0.99005226042060179</v>
      </c>
      <c r="D27" s="72">
        <f t="shared" si="0"/>
        <v>3.5095890410958903</v>
      </c>
      <c r="E27" s="95">
        <f t="shared" si="1"/>
        <v>2.8486380673205377E-3</v>
      </c>
      <c r="F27" s="76">
        <f>VLOOKUP(B27,BondCurveInputData!$E$3:$W$17,19,FALSE)</f>
        <v>2.5000000000000001E-2</v>
      </c>
      <c r="G27" s="97">
        <f>VLOOKUP(B27,DAti_MF!$D$2:$E$16,2,FALSE)/100</f>
        <v>3.0513200099999997E-3</v>
      </c>
    </row>
    <row r="28" spans="2:11" x14ac:dyDescent="0.2">
      <c r="B28" s="70">
        <v>43952</v>
      </c>
      <c r="C28" s="71">
        <v>0.97720938095009591</v>
      </c>
      <c r="D28" s="72">
        <f t="shared" si="0"/>
        <v>4.5123287671232877</v>
      </c>
      <c r="E28" s="95">
        <f t="shared" si="1"/>
        <v>5.1091888486653071E-3</v>
      </c>
      <c r="F28" s="76">
        <f>VLOOKUP(B28,BondCurveInputData!$E$3:$W$17,19,FALSE)</f>
        <v>6.9999999999999993E-3</v>
      </c>
      <c r="G28" s="97">
        <f>VLOOKUP(B28,DAti_MF!$D$2:$E$16,2,FALSE)/100</f>
        <v>5.2110523900000009E-3</v>
      </c>
    </row>
    <row r="29" spans="2:11" x14ac:dyDescent="0.2">
      <c r="B29" s="70">
        <v>44317</v>
      </c>
      <c r="C29" s="71">
        <v>0.9617913497559315</v>
      </c>
      <c r="D29" s="72">
        <f t="shared" si="0"/>
        <v>5.5123287671232877</v>
      </c>
      <c r="E29" s="95">
        <f t="shared" si="1"/>
        <v>7.067383973700418E-3</v>
      </c>
      <c r="F29" s="76">
        <f>VLOOKUP(B29,BondCurveInputData!$E$3:$W$17,19,FALSE)</f>
        <v>3.7499999999999999E-2</v>
      </c>
      <c r="G29" s="97">
        <f>VLOOKUP(B29,DAti_MF!$D$2:$E$16,2,FALSE)/100</f>
        <v>8.1235396599999999E-3</v>
      </c>
    </row>
    <row r="30" spans="2:11" x14ac:dyDescent="0.2">
      <c r="B30" s="70">
        <v>44666</v>
      </c>
      <c r="C30" s="71">
        <v>0.94012764772654256</v>
      </c>
      <c r="D30" s="72">
        <f t="shared" si="0"/>
        <v>6.4684931506849317</v>
      </c>
      <c r="E30" s="95">
        <f t="shared" si="1"/>
        <v>9.5446676753687763E-3</v>
      </c>
      <c r="F30" s="76">
        <f>VLOOKUP(B30,BondCurveInputData!$E$3:$W$17,19,FALSE)</f>
        <v>1.3500000000000002E-2</v>
      </c>
      <c r="G30" s="97">
        <f>VLOOKUP(B30,DAti_MF!$D$2:$E$16,2,FALSE)/100</f>
        <v>1.011750977E-2</v>
      </c>
    </row>
    <row r="31" spans="2:11" x14ac:dyDescent="0.2">
      <c r="B31" s="70">
        <v>45047</v>
      </c>
      <c r="C31" s="71">
        <v>0.92350222158520867</v>
      </c>
      <c r="D31" s="72">
        <f t="shared" si="0"/>
        <v>7.5123287671232877</v>
      </c>
      <c r="E31" s="95">
        <f t="shared" si="1"/>
        <v>1.0593529143623256E-2</v>
      </c>
      <c r="F31" s="76">
        <f>VLOOKUP(B31,BondCurveInputData!$E$3:$W$17,19,FALSE)</f>
        <v>4.4999999999999998E-2</v>
      </c>
      <c r="G31" s="97">
        <f>VLOOKUP(B31,DAti_MF!$D$2:$E$16,2,FALSE)/100</f>
        <v>1.299234378E-2</v>
      </c>
    </row>
    <row r="32" spans="2:11" x14ac:dyDescent="0.2">
      <c r="B32" s="70">
        <v>45352</v>
      </c>
      <c r="C32" s="71">
        <v>0.90637739639450954</v>
      </c>
      <c r="D32" s="72">
        <f t="shared" si="0"/>
        <v>8.3479452054794514</v>
      </c>
      <c r="E32" s="95">
        <f t="shared" si="1"/>
        <v>1.177529379285382E-2</v>
      </c>
      <c r="F32" s="76">
        <f>VLOOKUP(B32,BondCurveInputData!$E$3:$W$17,19,FALSE)</f>
        <v>4.4999999999999998E-2</v>
      </c>
      <c r="G32" s="97">
        <f>VLOOKUP(B32,DAti_MF!$D$2:$E$16,2,FALSE)/100</f>
        <v>1.4665696779999999E-2</v>
      </c>
    </row>
    <row r="33" spans="2:7" x14ac:dyDescent="0.2">
      <c r="B33" s="70">
        <v>45809</v>
      </c>
      <c r="C33" s="71">
        <v>0.87567148451065169</v>
      </c>
      <c r="D33" s="72">
        <f t="shared" si="0"/>
        <v>9.6</v>
      </c>
      <c r="E33" s="95">
        <f t="shared" si="1"/>
        <v>1.3829612090038178E-2</v>
      </c>
      <c r="F33" s="76">
        <f>VLOOKUP(B33,BondCurveInputData!$E$3:$W$17,19,FALSE)</f>
        <v>1.4999999999999999E-2</v>
      </c>
      <c r="G33" s="97">
        <f>VLOOKUP(B33,DAti_MF!$D$2:$E$16,2,FALSE)/100</f>
        <v>1.51413846E-2</v>
      </c>
    </row>
    <row r="34" spans="2:7" x14ac:dyDescent="0.2">
      <c r="B34" s="70">
        <v>48274</v>
      </c>
      <c r="C34" s="71">
        <v>0.75066167189361832</v>
      </c>
      <c r="D34" s="72">
        <f t="shared" si="0"/>
        <v>16.353424657534248</v>
      </c>
      <c r="E34" s="95">
        <f t="shared" si="1"/>
        <v>1.7537625188715045E-2</v>
      </c>
      <c r="F34" s="76">
        <f>VLOOKUP(B34,BondCurveInputData!$E$3:$W$17,19,FALSE)</f>
        <v>1.6500000000000001E-2</v>
      </c>
      <c r="G34" s="97">
        <f>VLOOKUP(B34,DAti_MF!$D$2:$E$16,2,FALSE)/100</f>
        <v>2.0524897050000001E-2</v>
      </c>
    </row>
    <row r="35" spans="2:7" x14ac:dyDescent="0.2">
      <c r="B35" s="70">
        <v>49157</v>
      </c>
      <c r="C35" s="71">
        <v>0.73174075906424485</v>
      </c>
      <c r="D35" s="72">
        <f t="shared" si="0"/>
        <v>18.772602739726029</v>
      </c>
      <c r="E35" s="95">
        <f t="shared" si="1"/>
        <v>1.6637489556583517E-2</v>
      </c>
      <c r="F35" s="76">
        <f>VLOOKUP(B35,BondCurveInputData!$E$3:$W$17,19,FALSE)</f>
        <v>0.05</v>
      </c>
      <c r="G35" s="97">
        <f>VLOOKUP(B35,DAti_MF!$D$2:$E$16,2,FALSE)/100</f>
        <v>2.571763945E-2</v>
      </c>
    </row>
    <row r="36" spans="2:7" x14ac:dyDescent="0.2">
      <c r="B36" s="70">
        <v>53571</v>
      </c>
      <c r="C36">
        <v>0.56974758875436071</v>
      </c>
      <c r="D36" s="72">
        <f t="shared" ref="D36" si="2">YEARFRAC($B$21,B36,3)</f>
        <v>30.865753424657534</v>
      </c>
      <c r="E36" s="95">
        <f t="shared" si="1"/>
        <v>1.8226084918036876E-2</v>
      </c>
      <c r="F36" s="76">
        <f>VLOOKUP(B36,BondCurveInputData!$E$3:$W$17,19,FALSE)</f>
        <v>3.2500000000000001E-2</v>
      </c>
      <c r="G36" s="97">
        <f>VLOOKUP(B36,DAti_MF!$D$2:$E$16,2,FALSE)/100</f>
        <v>2.7983623199999998E-2</v>
      </c>
    </row>
    <row r="41" spans="2:7" x14ac:dyDescent="0.2">
      <c r="B41" s="54" t="s">
        <v>233</v>
      </c>
      <c r="C41" s="54" t="s">
        <v>234</v>
      </c>
      <c r="D41" s="69" t="s">
        <v>222</v>
      </c>
      <c r="E41" s="69" t="s">
        <v>223</v>
      </c>
    </row>
    <row r="42" spans="2:7" x14ac:dyDescent="0.2">
      <c r="B42" s="55">
        <f>B21</f>
        <v>42305</v>
      </c>
      <c r="C42">
        <f>_xll.qlYieldTSDiscount($A$2,B42)</f>
        <v>1</v>
      </c>
      <c r="D42" s="72">
        <f>YEARFRAC($B$21,B42,3)</f>
        <v>0</v>
      </c>
      <c r="E42" s="72"/>
    </row>
    <row r="43" spans="2:7" x14ac:dyDescent="0.2">
      <c r="B43" s="55">
        <f>DATE(YEAR(B42),MONTH(B42)+6,DAY(B42))</f>
        <v>42488</v>
      </c>
      <c r="C43">
        <f>_xll.qlYieldTSDiscount($A$2,B43)</f>
        <v>1.0002578426152142</v>
      </c>
      <c r="D43" s="72">
        <f t="shared" ref="D43" si="3">YEARFRAC($B$21,B43,3)</f>
        <v>0.50136986301369868</v>
      </c>
      <c r="E43" s="96">
        <f>-LN(C43)/D43</f>
        <v>-5.1420996461647368E-4</v>
      </c>
    </row>
    <row r="44" spans="2:7" x14ac:dyDescent="0.2">
      <c r="B44" s="55">
        <f t="shared" ref="B44:B57" si="4">DATE(YEAR(B43),MONTH(B43)+6,DAY(B43))</f>
        <v>42671</v>
      </c>
      <c r="C44">
        <f>_xll.qlYieldTSDiscount($A$2,B44)</f>
        <v>1.0002363253651878</v>
      </c>
      <c r="D44" s="72">
        <f t="shared" ref="D44:D103" si="5">YEARFRAC($B$21,B44,3)</f>
        <v>1.0027397260273974</v>
      </c>
      <c r="E44" s="96">
        <f t="shared" ref="E44:E103" si="6">-LN(C44)/D44</f>
        <v>-2.356518233137398E-4</v>
      </c>
    </row>
    <row r="45" spans="2:7" x14ac:dyDescent="0.2">
      <c r="B45" s="55">
        <f t="shared" si="4"/>
        <v>42853</v>
      </c>
      <c r="C45">
        <f>_xll.qlYieldTSDiscount($A$2,B45)</f>
        <v>0.99973280612250215</v>
      </c>
      <c r="D45" s="72">
        <f t="shared" si="5"/>
        <v>1.5013698630136987</v>
      </c>
      <c r="E45" s="96">
        <f t="shared" si="6"/>
        <v>1.7799050502143049E-4</v>
      </c>
    </row>
    <row r="46" spans="2:7" x14ac:dyDescent="0.2">
      <c r="B46" s="55">
        <f t="shared" si="4"/>
        <v>43036</v>
      </c>
      <c r="C46">
        <f>_xll.qlYieldTSDiscount($A$2,B46)</f>
        <v>0.99808137582986767</v>
      </c>
      <c r="D46" s="72">
        <f t="shared" si="5"/>
        <v>2.0027397260273974</v>
      </c>
      <c r="E46" s="96">
        <f t="shared" si="6"/>
        <v>9.5891995457417201E-4</v>
      </c>
    </row>
    <row r="47" spans="2:7" x14ac:dyDescent="0.2">
      <c r="B47" s="55">
        <f t="shared" si="4"/>
        <v>43218</v>
      </c>
      <c r="C47">
        <f>_xll.qlYieldTSDiscount($A$2,B47)</f>
        <v>0.99632533177928262</v>
      </c>
      <c r="D47" s="72">
        <f t="shared" si="5"/>
        <v>2.5013698630136987</v>
      </c>
      <c r="E47" s="96">
        <f t="shared" si="6"/>
        <v>1.4717681115645415E-3</v>
      </c>
    </row>
    <row r="48" spans="2:7" x14ac:dyDescent="0.2">
      <c r="B48" s="55">
        <f t="shared" si="4"/>
        <v>43401</v>
      </c>
      <c r="C48">
        <f>_xll.qlYieldTSDiscount($A$2,B48)</f>
        <v>0.99326752660171358</v>
      </c>
      <c r="D48" s="72">
        <f t="shared" si="5"/>
        <v>3.0027397260273974</v>
      </c>
      <c r="E48" s="96">
        <f t="shared" si="6"/>
        <v>2.2496917312882637E-3</v>
      </c>
    </row>
    <row r="49" spans="2:5" x14ac:dyDescent="0.2">
      <c r="B49" s="55">
        <f t="shared" si="4"/>
        <v>43583</v>
      </c>
      <c r="C49">
        <f>_xll.qlYieldTSDiscount($A$2,B49)</f>
        <v>0.99010431676022315</v>
      </c>
      <c r="D49" s="72">
        <f t="shared" si="5"/>
        <v>3.5013698630136987</v>
      </c>
      <c r="E49" s="96">
        <f t="shared" si="6"/>
        <v>2.8403086017160244E-3</v>
      </c>
    </row>
    <row r="50" spans="2:5" x14ac:dyDescent="0.2">
      <c r="B50" s="55">
        <f t="shared" si="4"/>
        <v>43766</v>
      </c>
      <c r="C50">
        <f>_xll.qlYieldTSDiscount($A$2,B50)</f>
        <v>0.98370942330724553</v>
      </c>
      <c r="D50" s="72">
        <f t="shared" si="5"/>
        <v>4.0027397260273974</v>
      </c>
      <c r="E50" s="96">
        <f t="shared" si="6"/>
        <v>4.103371236003444E-3</v>
      </c>
    </row>
    <row r="51" spans="2:5" x14ac:dyDescent="0.2">
      <c r="B51" s="55">
        <f t="shared" si="4"/>
        <v>43949</v>
      </c>
      <c r="C51">
        <f>_xll.qlYieldTSDiscount($A$2,B51)</f>
        <v>0.97731377883236448</v>
      </c>
      <c r="D51" s="72">
        <f t="shared" si="5"/>
        <v>4.5041095890410956</v>
      </c>
      <c r="E51" s="96">
        <f t="shared" si="6"/>
        <v>5.0947945218071892E-3</v>
      </c>
    </row>
    <row r="52" spans="2:5" x14ac:dyDescent="0.2">
      <c r="B52" s="55">
        <f t="shared" si="4"/>
        <v>44132</v>
      </c>
      <c r="C52">
        <f>_xll.qlYieldTSDiscount($A$2,B52)</f>
        <v>0.96958216637908556</v>
      </c>
      <c r="D52" s="72">
        <f t="shared" si="5"/>
        <v>5.0054794520547947</v>
      </c>
      <c r="E52" s="96">
        <f t="shared" si="6"/>
        <v>6.1712483075720944E-3</v>
      </c>
    </row>
    <row r="53" spans="2:5" x14ac:dyDescent="0.2">
      <c r="B53" s="55">
        <f t="shared" si="4"/>
        <v>44314</v>
      </c>
      <c r="C53">
        <f>_xll.qlYieldTSDiscount($A$2,B53)</f>
        <v>0.96191730753772231</v>
      </c>
      <c r="D53" s="72">
        <f t="shared" si="5"/>
        <v>5.5041095890410956</v>
      </c>
      <c r="E53" s="96">
        <f t="shared" si="6"/>
        <v>7.0541456857819195E-3</v>
      </c>
    </row>
    <row r="54" spans="2:5" x14ac:dyDescent="0.2">
      <c r="B54" s="55">
        <f t="shared" si="4"/>
        <v>44497</v>
      </c>
      <c r="C54">
        <f>_xll.qlYieldTSDiscount($A$2,B54)</f>
        <v>0.95055647055816395</v>
      </c>
      <c r="D54" s="72">
        <f t="shared" si="5"/>
        <v>6.0054794520547947</v>
      </c>
      <c r="E54" s="96">
        <f t="shared" si="6"/>
        <v>8.4435735397376636E-3</v>
      </c>
    </row>
    <row r="55" spans="2:5" x14ac:dyDescent="0.2">
      <c r="B55" s="55">
        <f t="shared" si="4"/>
        <v>44679</v>
      </c>
      <c r="C55">
        <f>_xll.qlYieldTSDiscount($A$2,B55)</f>
        <v>0.9395554743449539</v>
      </c>
      <c r="D55" s="72">
        <f t="shared" si="5"/>
        <v>6.5041095890410956</v>
      </c>
      <c r="E55" s="96">
        <f t="shared" si="6"/>
        <v>9.5860031799684699E-3</v>
      </c>
    </row>
    <row r="56" spans="2:5" x14ac:dyDescent="0.2">
      <c r="B56" s="55">
        <f t="shared" si="4"/>
        <v>44862</v>
      </c>
      <c r="C56">
        <f>_xll.qlYieldTSDiscount($A$2,B56)</f>
        <v>0.93153788959559169</v>
      </c>
      <c r="D56" s="72">
        <f t="shared" si="5"/>
        <v>7.0054794520547947</v>
      </c>
      <c r="E56" s="96">
        <f t="shared" si="6"/>
        <v>1.012327769408836E-2</v>
      </c>
    </row>
    <row r="57" spans="2:5" x14ac:dyDescent="0.2">
      <c r="B57" s="55">
        <f t="shared" si="4"/>
        <v>45044</v>
      </c>
      <c r="C57">
        <f>_xll.qlYieldTSDiscount($A$2,B57)</f>
        <v>0.92363197517195805</v>
      </c>
      <c r="D57" s="72">
        <f t="shared" si="5"/>
        <v>7.5041095890410956</v>
      </c>
      <c r="E57" s="96">
        <f t="shared" si="6"/>
        <v>1.0586410153916259E-2</v>
      </c>
    </row>
    <row r="58" spans="2:5" x14ac:dyDescent="0.2">
      <c r="B58" s="55">
        <f t="shared" ref="B58:B60" si="7">DATE(YEAR(B57),MONTH(B57)+6,DAY(B57))</f>
        <v>45227</v>
      </c>
      <c r="C58">
        <f>_xll.qlYieldTSDiscount($A$2,B58)</f>
        <v>0.9133515999694326</v>
      </c>
      <c r="D58" s="72">
        <f t="shared" si="5"/>
        <v>8.0054794520547947</v>
      </c>
      <c r="E58" s="96">
        <f t="shared" si="6"/>
        <v>1.1321541582163702E-2</v>
      </c>
    </row>
    <row r="59" spans="2:5" x14ac:dyDescent="0.2">
      <c r="B59" s="55">
        <f t="shared" si="7"/>
        <v>45410</v>
      </c>
      <c r="C59">
        <f>_xll.qlYieldTSDiscount($A$2,B59)</f>
        <v>0.90242505322719091</v>
      </c>
      <c r="D59" s="72">
        <f t="shared" si="5"/>
        <v>8.506849315068493</v>
      </c>
      <c r="E59" s="96">
        <f t="shared" si="6"/>
        <v>1.2069055408930328E-2</v>
      </c>
    </row>
    <row r="60" spans="2:5" x14ac:dyDescent="0.2">
      <c r="B60" s="55">
        <f t="shared" si="7"/>
        <v>45593</v>
      </c>
      <c r="C60">
        <f>_xll.qlYieldTSDiscount($A$2,B60)</f>
        <v>0.89006735064119447</v>
      </c>
      <c r="D60" s="72">
        <f t="shared" si="5"/>
        <v>9.0082191780821912</v>
      </c>
      <c r="E60" s="96">
        <f t="shared" si="6"/>
        <v>1.2927987423391874E-2</v>
      </c>
    </row>
    <row r="61" spans="2:5" x14ac:dyDescent="0.2">
      <c r="B61" s="55">
        <f t="shared" ref="B61:B75" si="8">DATE(YEAR(B60),MONTH(B60)+6,DAY(B60))</f>
        <v>45775</v>
      </c>
      <c r="C61">
        <f>_xll.qlYieldTSDiscount($A$2,B61)</f>
        <v>0.87792381687916521</v>
      </c>
      <c r="D61" s="72">
        <f t="shared" si="5"/>
        <v>9.506849315068493</v>
      </c>
      <c r="E61" s="96">
        <f t="shared" si="6"/>
        <v>1.3694911292602049E-2</v>
      </c>
    </row>
    <row r="62" spans="2:5" x14ac:dyDescent="0.2">
      <c r="B62" s="55">
        <f t="shared" si="8"/>
        <v>45958</v>
      </c>
      <c r="C62">
        <f>_xll.qlYieldTSDiscount($A$2,B62)</f>
        <v>0.86755222250220454</v>
      </c>
      <c r="D62" s="72">
        <f t="shared" si="5"/>
        <v>10.008219178082191</v>
      </c>
      <c r="E62" s="96">
        <f t="shared" si="6"/>
        <v>1.4196288829719964E-2</v>
      </c>
    </row>
    <row r="63" spans="2:5" x14ac:dyDescent="0.2">
      <c r="B63" s="55">
        <f t="shared" si="8"/>
        <v>46140</v>
      </c>
      <c r="C63">
        <f>_xll.qlYieldTSDiscount($A$2,B63)</f>
        <v>0.85773680296858612</v>
      </c>
      <c r="D63" s="72">
        <f t="shared" si="5"/>
        <v>10.506849315068493</v>
      </c>
      <c r="E63" s="96">
        <f t="shared" si="6"/>
        <v>1.4605518590653422E-2</v>
      </c>
    </row>
    <row r="64" spans="2:5" x14ac:dyDescent="0.2">
      <c r="B64" s="55">
        <f t="shared" si="8"/>
        <v>46323</v>
      </c>
      <c r="C64">
        <f>_xll.qlYieldTSDiscount($A$2,B64)</f>
        <v>0.84797941806908539</v>
      </c>
      <c r="D64" s="72">
        <f t="shared" si="5"/>
        <v>11.008219178082191</v>
      </c>
      <c r="E64" s="96">
        <f t="shared" si="6"/>
        <v>1.497961768040101E-2</v>
      </c>
    </row>
    <row r="65" spans="2:5" x14ac:dyDescent="0.2">
      <c r="B65" s="55">
        <f t="shared" si="8"/>
        <v>46505</v>
      </c>
      <c r="C65">
        <f>_xll.qlYieldTSDiscount($A$2,B65)</f>
        <v>0.83838544374876656</v>
      </c>
      <c r="D65" s="72">
        <f t="shared" si="5"/>
        <v>11.506849315068493</v>
      </c>
      <c r="E65" s="96">
        <f t="shared" si="6"/>
        <v>1.5319339176200021E-2</v>
      </c>
    </row>
    <row r="66" spans="2:5" x14ac:dyDescent="0.2">
      <c r="B66" s="55">
        <f t="shared" si="8"/>
        <v>46688</v>
      </c>
      <c r="C66">
        <f>_xll.qlYieldTSDiscount($A$2,B66)</f>
        <v>0.82884819474594518</v>
      </c>
      <c r="D66" s="72">
        <f t="shared" si="5"/>
        <v>12.008219178082191</v>
      </c>
      <c r="E66" s="96">
        <f t="shared" si="6"/>
        <v>1.5632481082531471E-2</v>
      </c>
    </row>
    <row r="67" spans="2:5" x14ac:dyDescent="0.2">
      <c r="B67" s="55">
        <f t="shared" si="8"/>
        <v>46871</v>
      </c>
      <c r="C67">
        <f>_xll.qlYieldTSDiscount($A$2,B67)</f>
        <v>0.81943595558787274</v>
      </c>
      <c r="D67" s="72">
        <f t="shared" si="5"/>
        <v>12.509589041095891</v>
      </c>
      <c r="E67" s="96">
        <f t="shared" si="6"/>
        <v>1.5918910988393601E-2</v>
      </c>
    </row>
    <row r="68" spans="2:5" x14ac:dyDescent="0.2">
      <c r="B68" s="55">
        <f t="shared" si="8"/>
        <v>47054</v>
      </c>
      <c r="C68">
        <f>_xll.qlYieldTSDiscount($A$2,B68)</f>
        <v>0.81013959496627463</v>
      </c>
      <c r="D68" s="72">
        <f t="shared" si="5"/>
        <v>13.010958904109589</v>
      </c>
      <c r="E68" s="96">
        <f t="shared" si="6"/>
        <v>1.6182412706979843E-2</v>
      </c>
    </row>
    <row r="69" spans="2:5" x14ac:dyDescent="0.2">
      <c r="B69" s="55">
        <f t="shared" si="8"/>
        <v>47236</v>
      </c>
      <c r="C69">
        <f>_xll.qlYieldTSDiscount($A$2,B69)</f>
        <v>0.80098263081872012</v>
      </c>
      <c r="D69" s="72">
        <f t="shared" si="5"/>
        <v>13.509589041095891</v>
      </c>
      <c r="E69" s="96">
        <f t="shared" si="6"/>
        <v>1.6426555674266565E-2</v>
      </c>
    </row>
    <row r="70" spans="2:5" x14ac:dyDescent="0.2">
      <c r="B70" s="55">
        <f t="shared" si="8"/>
        <v>47419</v>
      </c>
      <c r="C70">
        <f>_xll.qlYieldTSDiscount($A$2,B70)</f>
        <v>0.79187086623118708</v>
      </c>
      <c r="D70" s="72">
        <f t="shared" si="5"/>
        <v>14.010958904109589</v>
      </c>
      <c r="E70" s="96">
        <f t="shared" si="6"/>
        <v>1.6655316009875604E-2</v>
      </c>
    </row>
    <row r="71" spans="2:5" x14ac:dyDescent="0.2">
      <c r="B71" s="55">
        <f t="shared" si="8"/>
        <v>47601</v>
      </c>
      <c r="C71">
        <f>_xll.qlYieldTSDiscount($A$2,B71)</f>
        <v>0.78291169977767816</v>
      </c>
      <c r="D71" s="72">
        <f t="shared" si="5"/>
        <v>14.509589041095891</v>
      </c>
      <c r="E71" s="96">
        <f t="shared" si="6"/>
        <v>1.6867146294315075E-2</v>
      </c>
    </row>
    <row r="72" spans="2:5" x14ac:dyDescent="0.2">
      <c r="B72" s="55">
        <f t="shared" si="8"/>
        <v>47784</v>
      </c>
      <c r="C72">
        <f>_xll.qlYieldTSDiscount($A$2,B72)</f>
        <v>0.77400550527767031</v>
      </c>
      <c r="D72" s="72">
        <f t="shared" si="5"/>
        <v>15.010958904109589</v>
      </c>
      <c r="E72" s="96">
        <f t="shared" si="6"/>
        <v>1.7065951235515242E-2</v>
      </c>
    </row>
    <row r="73" spans="2:5" x14ac:dyDescent="0.2">
      <c r="B73" s="55">
        <f t="shared" si="8"/>
        <v>47966</v>
      </c>
      <c r="C73">
        <f>_xll.qlYieldTSDiscount($A$2,B73)</f>
        <v>0.76524846615244191</v>
      </c>
      <c r="D73" s="72">
        <f t="shared" si="5"/>
        <v>15.509589041095891</v>
      </c>
      <c r="E73" s="96">
        <f t="shared" si="6"/>
        <v>1.7250921660409268E-2</v>
      </c>
    </row>
    <row r="74" spans="2:5" x14ac:dyDescent="0.2">
      <c r="B74" s="55">
        <f t="shared" si="8"/>
        <v>48149</v>
      </c>
      <c r="C74">
        <f>_xll.qlYieldTSDiscount($A$2,B74)</f>
        <v>0.75654320388299101</v>
      </c>
      <c r="D74" s="72">
        <f t="shared" si="5"/>
        <v>16.010958904109589</v>
      </c>
      <c r="E74" s="96">
        <f t="shared" si="6"/>
        <v>1.742529219101167E-2</v>
      </c>
    </row>
    <row r="75" spans="2:5" x14ac:dyDescent="0.2">
      <c r="B75" s="55">
        <f t="shared" si="8"/>
        <v>48332</v>
      </c>
      <c r="C75">
        <f>_xll.qlYieldTSDiscount($A$2,B75)</f>
        <v>0.74940621779367134</v>
      </c>
      <c r="D75" s="72">
        <f t="shared" si="5"/>
        <v>16.512328767123286</v>
      </c>
      <c r="E75" s="96">
        <f t="shared" si="6"/>
        <v>1.7470224805731138E-2</v>
      </c>
    </row>
    <row r="76" spans="2:5" x14ac:dyDescent="0.2">
      <c r="B76" s="55">
        <f t="shared" ref="B76:B100" si="9">DATE(YEAR(B75),MONTH(B75)+6,DAY(B75))</f>
        <v>48515</v>
      </c>
      <c r="C76">
        <f>_xll.qlYieldTSDiscount($A$2,B76)</f>
        <v>0.74545879096079237</v>
      </c>
      <c r="D76" s="72">
        <f t="shared" si="5"/>
        <v>17.013698630136986</v>
      </c>
      <c r="E76" s="96">
        <f t="shared" si="6"/>
        <v>1.7265817958755546E-2</v>
      </c>
    </row>
    <row r="77" spans="2:5" x14ac:dyDescent="0.2">
      <c r="B77" s="55">
        <f t="shared" si="9"/>
        <v>48697</v>
      </c>
      <c r="C77">
        <f>_xll.qlYieldTSDiscount($A$2,B77)</f>
        <v>0.74154669752037305</v>
      </c>
      <c r="D77" s="72">
        <f t="shared" si="5"/>
        <v>17.512328767123286</v>
      </c>
      <c r="E77" s="96">
        <f t="shared" si="6"/>
        <v>1.7074664726915611E-2</v>
      </c>
    </row>
    <row r="78" spans="2:5" x14ac:dyDescent="0.2">
      <c r="B78" s="55">
        <f t="shared" si="9"/>
        <v>48880</v>
      </c>
      <c r="C78">
        <f>_xll.qlYieldTSDiscount($A$2,B78)</f>
        <v>0.73762999683792418</v>
      </c>
      <c r="D78" s="72">
        <f t="shared" si="5"/>
        <v>18.013698630136986</v>
      </c>
      <c r="E78" s="96">
        <f t="shared" si="6"/>
        <v>1.6893417928806123E-2</v>
      </c>
    </row>
    <row r="79" spans="2:5" x14ac:dyDescent="0.2">
      <c r="B79" s="55">
        <f t="shared" si="9"/>
        <v>49062</v>
      </c>
      <c r="C79">
        <f>_xll.qlYieldTSDiscount($A$2,B79)</f>
        <v>0.73375521705669922</v>
      </c>
      <c r="D79" s="72">
        <f t="shared" si="5"/>
        <v>18.512328767123286</v>
      </c>
      <c r="E79" s="96">
        <f t="shared" si="6"/>
        <v>1.6722898649386624E-2</v>
      </c>
    </row>
    <row r="80" spans="2:5" x14ac:dyDescent="0.2">
      <c r="B80" s="55">
        <f t="shared" si="9"/>
        <v>49245</v>
      </c>
      <c r="C80">
        <f>_xll.qlYieldTSDiscount($A$2,B80)</f>
        <v>0.72809688284488094</v>
      </c>
      <c r="D80" s="72">
        <f t="shared" si="5"/>
        <v>19.013698630136986</v>
      </c>
      <c r="E80" s="96">
        <f t="shared" si="6"/>
        <v>1.6689081118919192E-2</v>
      </c>
    </row>
    <row r="81" spans="2:5" x14ac:dyDescent="0.2">
      <c r="B81" s="55">
        <f t="shared" si="9"/>
        <v>49427</v>
      </c>
      <c r="C81">
        <f>_xll.qlYieldTSDiscount($A$2,B81)</f>
        <v>0.72061815402765839</v>
      </c>
      <c r="D81" s="72">
        <f t="shared" si="5"/>
        <v>19.512328767123286</v>
      </c>
      <c r="E81" s="96">
        <f t="shared" si="6"/>
        <v>1.6791736750784235E-2</v>
      </c>
    </row>
    <row r="82" spans="2:5" x14ac:dyDescent="0.2">
      <c r="B82" s="55">
        <f t="shared" si="9"/>
        <v>49610</v>
      </c>
      <c r="C82">
        <f>_xll.qlYieldTSDiscount($A$2,B82)</f>
        <v>0.71317578471503218</v>
      </c>
      <c r="D82" s="72">
        <f t="shared" si="5"/>
        <v>20.013698630136986</v>
      </c>
      <c r="E82" s="96">
        <f t="shared" si="6"/>
        <v>1.6889798973393495E-2</v>
      </c>
    </row>
    <row r="83" spans="2:5" x14ac:dyDescent="0.2">
      <c r="B83" s="55">
        <f t="shared" si="9"/>
        <v>49793</v>
      </c>
      <c r="C83">
        <f>_xll.qlYieldTSDiscount($A$2,B83)</f>
        <v>0.70582318761005181</v>
      </c>
      <c r="D83" s="72">
        <f t="shared" si="5"/>
        <v>20.515068493150686</v>
      </c>
      <c r="E83" s="96">
        <f t="shared" si="6"/>
        <v>1.6982176562064414E-2</v>
      </c>
    </row>
    <row r="84" spans="2:5" x14ac:dyDescent="0.2">
      <c r="B84" s="55">
        <f t="shared" si="9"/>
        <v>49976</v>
      </c>
      <c r="C84">
        <f>_xll.qlYieldTSDiscount($A$2,B84)</f>
        <v>0.6985534310541659</v>
      </c>
      <c r="D84" s="72">
        <f t="shared" si="5"/>
        <v>21.016438356164382</v>
      </c>
      <c r="E84" s="96">
        <f t="shared" si="6"/>
        <v>1.7069667235615763E-2</v>
      </c>
    </row>
    <row r="85" spans="2:5" x14ac:dyDescent="0.2">
      <c r="B85" s="55">
        <f t="shared" si="9"/>
        <v>50158</v>
      </c>
      <c r="C85">
        <f>_xll.qlYieldTSDiscount($A$2,B85)</f>
        <v>0.69138512669833441</v>
      </c>
      <c r="D85" s="72">
        <f t="shared" si="5"/>
        <v>21.515068493150686</v>
      </c>
      <c r="E85" s="96">
        <f t="shared" si="6"/>
        <v>1.7153478442603568E-2</v>
      </c>
    </row>
    <row r="86" spans="2:5" x14ac:dyDescent="0.2">
      <c r="B86" s="55">
        <f t="shared" si="9"/>
        <v>50341</v>
      </c>
      <c r="C86">
        <f>_xll.qlYieldTSDiscount($A$2,B86)</f>
        <v>0.68424466899353398</v>
      </c>
      <c r="D86" s="72">
        <f t="shared" si="5"/>
        <v>22.016438356164382</v>
      </c>
      <c r="E86" s="96">
        <f t="shared" si="6"/>
        <v>1.723438259971628E-2</v>
      </c>
    </row>
    <row r="87" spans="2:5" x14ac:dyDescent="0.2">
      <c r="B87" s="55">
        <f t="shared" si="9"/>
        <v>50523</v>
      </c>
      <c r="C87">
        <f>_xll.qlYieldTSDiscount($A$2,B87)</f>
        <v>0.67721637311065885</v>
      </c>
      <c r="D87" s="72">
        <f t="shared" si="5"/>
        <v>22.515068493150686</v>
      </c>
      <c r="E87" s="96">
        <f t="shared" si="6"/>
        <v>1.7311270959492107E-2</v>
      </c>
    </row>
    <row r="88" spans="2:5" x14ac:dyDescent="0.2">
      <c r="B88" s="55">
        <f t="shared" si="9"/>
        <v>50706</v>
      </c>
      <c r="C88">
        <f>_xll.qlYieldTSDiscount($A$2,B88)</f>
        <v>0.67022224685242238</v>
      </c>
      <c r="D88" s="72">
        <f t="shared" si="5"/>
        <v>23.016438356164382</v>
      </c>
      <c r="E88" s="96">
        <f t="shared" si="6"/>
        <v>1.7385222843311548E-2</v>
      </c>
    </row>
    <row r="89" spans="2:5" x14ac:dyDescent="0.2">
      <c r="B89" s="55">
        <f t="shared" si="9"/>
        <v>50888</v>
      </c>
      <c r="C89">
        <f>_xll.qlYieldTSDiscount($A$2,B89)</f>
        <v>0.66333798385174325</v>
      </c>
      <c r="D89" s="72">
        <f t="shared" si="5"/>
        <v>23.515068493150686</v>
      </c>
      <c r="E89" s="96">
        <f t="shared" si="6"/>
        <v>1.7455642931427987E-2</v>
      </c>
    </row>
    <row r="90" spans="2:5" x14ac:dyDescent="0.2">
      <c r="B90" s="55">
        <f t="shared" si="9"/>
        <v>51071</v>
      </c>
      <c r="C90">
        <f>_xll.qlYieldTSDiscount($A$2,B90)</f>
        <v>0.65648719022779012</v>
      </c>
      <c r="D90" s="72">
        <f t="shared" si="5"/>
        <v>24.016438356164382</v>
      </c>
      <c r="E90" s="96">
        <f t="shared" si="6"/>
        <v>1.7523501670317201E-2</v>
      </c>
    </row>
    <row r="91" spans="2:5" x14ac:dyDescent="0.2">
      <c r="B91" s="55">
        <f t="shared" si="9"/>
        <v>51254</v>
      </c>
      <c r="C91">
        <f>_xll.qlYieldTSDiscount($A$2,B91)</f>
        <v>0.64971903303880996</v>
      </c>
      <c r="D91" s="72">
        <f t="shared" si="5"/>
        <v>24.517808219178082</v>
      </c>
      <c r="E91" s="96">
        <f t="shared" si="6"/>
        <v>1.7587839114772547E-2</v>
      </c>
    </row>
    <row r="92" spans="2:5" x14ac:dyDescent="0.2">
      <c r="B92" s="55">
        <f t="shared" si="9"/>
        <v>51437</v>
      </c>
      <c r="C92">
        <f>_xll.qlYieldTSDiscount($A$2,B92)</f>
        <v>0.64302713160679403</v>
      </c>
      <c r="D92" s="72">
        <f t="shared" si="5"/>
        <v>25.019178082191782</v>
      </c>
      <c r="E92" s="96">
        <f t="shared" si="6"/>
        <v>1.7649195302865711E-2</v>
      </c>
    </row>
    <row r="93" spans="2:5" x14ac:dyDescent="0.2">
      <c r="B93" s="55">
        <f t="shared" si="9"/>
        <v>51619</v>
      </c>
      <c r="C93">
        <f>_xll.qlYieldTSDiscount($A$2,B93)</f>
        <v>0.6364286181882014</v>
      </c>
      <c r="D93" s="72">
        <f t="shared" si="5"/>
        <v>25.517808219178082</v>
      </c>
      <c r="E93" s="96">
        <f t="shared" si="6"/>
        <v>1.7708535575598778E-2</v>
      </c>
    </row>
    <row r="94" spans="2:5" x14ac:dyDescent="0.2">
      <c r="B94" s="55">
        <f t="shared" si="9"/>
        <v>51802</v>
      </c>
      <c r="C94">
        <f>_xll.qlYieldTSDiscount($A$2,B94)</f>
        <v>0.62985573795862682</v>
      </c>
      <c r="D94" s="72">
        <f t="shared" si="5"/>
        <v>26.019178082191782</v>
      </c>
      <c r="E94" s="96">
        <f t="shared" si="6"/>
        <v>1.7766298063881348E-2</v>
      </c>
    </row>
    <row r="95" spans="2:5" x14ac:dyDescent="0.2">
      <c r="B95" s="55">
        <f t="shared" si="9"/>
        <v>51984</v>
      </c>
      <c r="C95">
        <f>_xll.qlYieldTSDiscount($A$2,B95)</f>
        <v>0.62338610408276285</v>
      </c>
      <c r="D95" s="72">
        <f t="shared" si="5"/>
        <v>26.517808219178082</v>
      </c>
      <c r="E95" s="96">
        <f t="shared" si="6"/>
        <v>1.782157856043675E-2</v>
      </c>
    </row>
    <row r="96" spans="2:5" x14ac:dyDescent="0.2">
      <c r="B96" s="55">
        <f t="shared" si="9"/>
        <v>52167</v>
      </c>
      <c r="C96">
        <f>_xll.qlYieldTSDiscount($A$2,B96)</f>
        <v>0.6169479237718557</v>
      </c>
      <c r="D96" s="72">
        <f t="shared" si="5"/>
        <v>27.019178082191782</v>
      </c>
      <c r="E96" s="96">
        <f t="shared" si="6"/>
        <v>1.7875105581831422E-2</v>
      </c>
    </row>
    <row r="97" spans="2:5" x14ac:dyDescent="0.2">
      <c r="B97" s="55">
        <f t="shared" si="9"/>
        <v>52349</v>
      </c>
      <c r="C97">
        <f>_xll.qlYieldTSDiscount($A$2,B97)</f>
        <v>0.61061087395753699</v>
      </c>
      <c r="D97" s="72">
        <f t="shared" si="5"/>
        <v>27.517808219178082</v>
      </c>
      <c r="E97" s="96">
        <f t="shared" si="6"/>
        <v>1.792640555772676E-2</v>
      </c>
    </row>
    <row r="98" spans="2:5" x14ac:dyDescent="0.2">
      <c r="B98" s="55">
        <f t="shared" si="9"/>
        <v>52532</v>
      </c>
      <c r="C98">
        <f>_xll.qlYieldTSDiscount($A$2,B98)</f>
        <v>0.60430463312125215</v>
      </c>
      <c r="D98" s="72">
        <f t="shared" si="5"/>
        <v>28.019178082191782</v>
      </c>
      <c r="E98" s="96">
        <f t="shared" si="6"/>
        <v>1.7976146453834139E-2</v>
      </c>
    </row>
    <row r="99" spans="2:5" x14ac:dyDescent="0.2">
      <c r="B99" s="55">
        <f t="shared" si="9"/>
        <v>52715</v>
      </c>
      <c r="C99">
        <f>_xll.qlYieldTSDiscount($A$2,B99)</f>
        <v>0.598074460152341</v>
      </c>
      <c r="D99" s="72">
        <f t="shared" si="5"/>
        <v>28.520547945205479</v>
      </c>
      <c r="E99" s="96">
        <f t="shared" si="6"/>
        <v>1.8023497250668648E-2</v>
      </c>
    </row>
    <row r="100" spans="2:5" x14ac:dyDescent="0.2">
      <c r="B100" s="55">
        <f t="shared" si="9"/>
        <v>52898</v>
      </c>
      <c r="C100">
        <f>_xll.qlYieldTSDiscount($A$2,B100)</f>
        <v>0.59191448155724491</v>
      </c>
      <c r="D100" s="72">
        <f t="shared" si="5"/>
        <v>29.021917808219179</v>
      </c>
      <c r="E100" s="96">
        <f t="shared" si="6"/>
        <v>1.8068864877478597E-2</v>
      </c>
    </row>
    <row r="101" spans="2:5" x14ac:dyDescent="0.2">
      <c r="B101" s="55">
        <f t="shared" ref="B101:B103" si="10">DATE(YEAR(B100),MONTH(B100)+6,DAY(B100))</f>
        <v>53080</v>
      </c>
      <c r="C101">
        <f>_xll.qlYieldTSDiscount($A$2,B101)</f>
        <v>0.58584046779136367</v>
      </c>
      <c r="D101" s="72">
        <f t="shared" si="5"/>
        <v>29.520547945205479</v>
      </c>
      <c r="E101" s="96">
        <f t="shared" si="6"/>
        <v>1.8113070486541826E-2</v>
      </c>
    </row>
    <row r="102" spans="2:5" x14ac:dyDescent="0.2">
      <c r="B102" s="55">
        <f t="shared" si="10"/>
        <v>53263</v>
      </c>
      <c r="C102">
        <f>_xll.qlYieldTSDiscount($A$2,B102)</f>
        <v>0.57979004969515568</v>
      </c>
      <c r="D102" s="72">
        <f t="shared" si="5"/>
        <v>30.021917808219179</v>
      </c>
      <c r="E102" s="96">
        <f t="shared" si="6"/>
        <v>1.8156375876441165E-2</v>
      </c>
    </row>
    <row r="103" spans="2:5" x14ac:dyDescent="0.2">
      <c r="B103" s="55">
        <f t="shared" si="10"/>
        <v>53445</v>
      </c>
      <c r="C103">
        <f>_xll.qlYieldTSDiscount($A$2,B103)</f>
        <v>0.57383467115315212</v>
      </c>
      <c r="D103" s="72">
        <f t="shared" si="5"/>
        <v>30.520547945205479</v>
      </c>
      <c r="E103" s="96">
        <f t="shared" si="6"/>
        <v>1.8198033485442411E-2</v>
      </c>
    </row>
    <row r="104" spans="2:5" x14ac:dyDescent="0.2">
      <c r="B104" s="5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workbookViewId="0">
      <selection activeCell="C16" sqref="C16"/>
    </sheetView>
  </sheetViews>
  <sheetFormatPr defaultRowHeight="11.25" x14ac:dyDescent="0.2"/>
  <cols>
    <col min="2" max="2" width="37" customWidth="1"/>
    <col min="11" max="11" width="15.6640625" customWidth="1"/>
    <col min="15" max="15" width="14.1640625" bestFit="1" customWidth="1"/>
  </cols>
  <sheetData>
    <row r="1" spans="1:32" ht="51" x14ac:dyDescent="0.2">
      <c r="A1" s="83" t="s">
        <v>236</v>
      </c>
      <c r="B1" s="83" t="s">
        <v>1</v>
      </c>
      <c r="C1" s="84" t="s">
        <v>237</v>
      </c>
      <c r="D1" s="83" t="s">
        <v>238</v>
      </c>
      <c r="E1" s="84" t="s">
        <v>239</v>
      </c>
      <c r="F1" s="84" t="s">
        <v>240</v>
      </c>
      <c r="G1" s="84" t="s">
        <v>241</v>
      </c>
      <c r="H1" s="84" t="s">
        <v>242</v>
      </c>
      <c r="I1" s="84" t="s">
        <v>243</v>
      </c>
      <c r="J1" s="83" t="s">
        <v>244</v>
      </c>
      <c r="K1" s="83" t="s">
        <v>245</v>
      </c>
      <c r="L1" s="83" t="s">
        <v>246</v>
      </c>
      <c r="M1" s="83" t="s">
        <v>247</v>
      </c>
      <c r="N1" s="83" t="s">
        <v>248</v>
      </c>
      <c r="O1" s="83" t="s">
        <v>249</v>
      </c>
      <c r="P1" s="83" t="s">
        <v>250</v>
      </c>
      <c r="Q1" s="83" t="s">
        <v>251</v>
      </c>
      <c r="R1" s="83" t="s">
        <v>252</v>
      </c>
      <c r="S1" s="83" t="s">
        <v>253</v>
      </c>
      <c r="T1" s="83" t="s">
        <v>254</v>
      </c>
      <c r="U1" s="83" t="s">
        <v>255</v>
      </c>
      <c r="V1" s="83" t="s">
        <v>256</v>
      </c>
      <c r="W1" s="83" t="s">
        <v>257</v>
      </c>
      <c r="X1" s="83" t="s">
        <v>258</v>
      </c>
      <c r="Y1" s="83" t="s">
        <v>259</v>
      </c>
      <c r="Z1" s="84" t="s">
        <v>260</v>
      </c>
      <c r="AA1" s="83" t="s">
        <v>261</v>
      </c>
      <c r="AB1" s="84" t="s">
        <v>262</v>
      </c>
      <c r="AC1" s="83" t="s">
        <v>263</v>
      </c>
      <c r="AD1" s="84" t="s">
        <v>264</v>
      </c>
      <c r="AE1" s="83" t="s">
        <v>265</v>
      </c>
      <c r="AF1" s="83" t="s">
        <v>266</v>
      </c>
    </row>
    <row r="2" spans="1:32" x14ac:dyDescent="0.2">
      <c r="A2" s="85" t="s">
        <v>23</v>
      </c>
      <c r="B2" s="85" t="s">
        <v>267</v>
      </c>
      <c r="C2" s="86">
        <v>0.214</v>
      </c>
      <c r="D2" s="87">
        <v>42383</v>
      </c>
      <c r="E2" s="88">
        <v>-7.2499398000000007E-2</v>
      </c>
      <c r="F2" s="88">
        <v>0</v>
      </c>
      <c r="G2" s="88">
        <v>100.0155</v>
      </c>
      <c r="H2" s="88">
        <v>100.0155</v>
      </c>
      <c r="I2" s="88">
        <v>100.0155</v>
      </c>
      <c r="J2" s="89">
        <v>42305</v>
      </c>
      <c r="K2" s="90" t="s">
        <v>45</v>
      </c>
      <c r="L2" s="90" t="s">
        <v>268</v>
      </c>
      <c r="M2" s="90" t="s">
        <v>47</v>
      </c>
      <c r="N2" s="90" t="s">
        <v>269</v>
      </c>
      <c r="O2" s="91">
        <v>42303.460277777776</v>
      </c>
      <c r="P2" s="90" t="s">
        <v>48</v>
      </c>
      <c r="Q2" s="90" t="s">
        <v>41</v>
      </c>
      <c r="R2" s="90" t="s">
        <v>42</v>
      </c>
      <c r="S2" s="90" t="s">
        <v>270</v>
      </c>
      <c r="T2" s="90"/>
      <c r="U2" s="90" t="s">
        <v>271</v>
      </c>
      <c r="V2" s="90" t="s">
        <v>271</v>
      </c>
      <c r="W2" s="90" t="s">
        <v>272</v>
      </c>
      <c r="X2" s="90">
        <v>1</v>
      </c>
      <c r="Y2" s="90">
        <v>1</v>
      </c>
      <c r="Z2" s="88">
        <v>0</v>
      </c>
      <c r="AA2" s="92">
        <v>0</v>
      </c>
      <c r="AB2" s="88">
        <v>0</v>
      </c>
      <c r="AC2" s="90" t="s">
        <v>273</v>
      </c>
      <c r="AD2" s="88">
        <v>100</v>
      </c>
      <c r="AE2" s="90"/>
      <c r="AF2" s="90"/>
    </row>
    <row r="3" spans="1:32" x14ac:dyDescent="0.2">
      <c r="A3" s="85" t="s">
        <v>50</v>
      </c>
      <c r="B3" s="85" t="s">
        <v>274</v>
      </c>
      <c r="C3" s="86">
        <v>0.42499999999999999</v>
      </c>
      <c r="D3" s="87">
        <v>42460</v>
      </c>
      <c r="E3" s="88">
        <v>-6.0036775000000001E-2</v>
      </c>
      <c r="F3" s="88">
        <v>0</v>
      </c>
      <c r="G3" s="88">
        <v>100.02549999999999</v>
      </c>
      <c r="H3" s="88">
        <v>100.02549999999999</v>
      </c>
      <c r="I3" s="88">
        <v>100.02549999999999</v>
      </c>
      <c r="J3" s="89">
        <v>42305</v>
      </c>
      <c r="K3" s="90" t="s">
        <v>45</v>
      </c>
      <c r="L3" s="90" t="s">
        <v>268</v>
      </c>
      <c r="M3" s="90" t="s">
        <v>47</v>
      </c>
      <c r="N3" s="90" t="s">
        <v>269</v>
      </c>
      <c r="O3" s="91">
        <v>42303.644907407404</v>
      </c>
      <c r="P3" s="90" t="s">
        <v>51</v>
      </c>
      <c r="Q3" s="90" t="s">
        <v>41</v>
      </c>
      <c r="R3" s="90" t="s">
        <v>42</v>
      </c>
      <c r="S3" s="90" t="s">
        <v>270</v>
      </c>
      <c r="T3" s="90"/>
      <c r="U3" s="90" t="s">
        <v>271</v>
      </c>
      <c r="V3" s="90" t="s">
        <v>271</v>
      </c>
      <c r="W3" s="90" t="s">
        <v>272</v>
      </c>
      <c r="X3" s="90">
        <v>1</v>
      </c>
      <c r="Y3" s="90">
        <v>1</v>
      </c>
      <c r="Z3" s="88">
        <v>0</v>
      </c>
      <c r="AA3" s="92">
        <v>0</v>
      </c>
      <c r="AB3" s="88">
        <v>0</v>
      </c>
      <c r="AC3" s="90" t="s">
        <v>273</v>
      </c>
      <c r="AD3" s="88">
        <v>100</v>
      </c>
      <c r="AE3" s="90"/>
      <c r="AF3" s="90"/>
    </row>
    <row r="4" spans="1:32" x14ac:dyDescent="0.2">
      <c r="A4" s="85" t="s">
        <v>12</v>
      </c>
      <c r="B4" s="85" t="s">
        <v>275</v>
      </c>
      <c r="C4" s="86">
        <v>0.96399999999999997</v>
      </c>
      <c r="D4" s="87">
        <v>42657</v>
      </c>
      <c r="E4" s="88">
        <v>-2.8506037000000001E-2</v>
      </c>
      <c r="F4" s="88">
        <v>0</v>
      </c>
      <c r="G4" s="88">
        <v>100.0275</v>
      </c>
      <c r="H4" s="88">
        <v>100.0275</v>
      </c>
      <c r="I4" s="88">
        <v>100.0275</v>
      </c>
      <c r="J4" s="89">
        <v>42305</v>
      </c>
      <c r="K4" s="90" t="s">
        <v>45</v>
      </c>
      <c r="L4" s="90" t="s">
        <v>268</v>
      </c>
      <c r="M4" s="90" t="s">
        <v>47</v>
      </c>
      <c r="N4" s="90" t="s">
        <v>269</v>
      </c>
      <c r="O4" s="91">
        <v>42303.669305555559</v>
      </c>
      <c r="P4" s="90" t="s">
        <v>53</v>
      </c>
      <c r="Q4" s="90" t="s">
        <v>41</v>
      </c>
      <c r="R4" s="90" t="s">
        <v>42</v>
      </c>
      <c r="S4" s="90" t="s">
        <v>270</v>
      </c>
      <c r="T4" s="90"/>
      <c r="U4" s="90" t="s">
        <v>271</v>
      </c>
      <c r="V4" s="90" t="s">
        <v>271</v>
      </c>
      <c r="W4" s="90" t="s">
        <v>272</v>
      </c>
      <c r="X4" s="90">
        <v>1</v>
      </c>
      <c r="Y4" s="90">
        <v>1</v>
      </c>
      <c r="Z4" s="88">
        <v>0</v>
      </c>
      <c r="AA4" s="92">
        <v>0</v>
      </c>
      <c r="AB4" s="88">
        <v>0</v>
      </c>
      <c r="AC4" s="90" t="s">
        <v>273</v>
      </c>
      <c r="AD4" s="88">
        <v>100</v>
      </c>
      <c r="AE4" s="90"/>
      <c r="AF4" s="90"/>
    </row>
    <row r="5" spans="1:32" x14ac:dyDescent="0.2">
      <c r="A5" s="85" t="s">
        <v>55</v>
      </c>
      <c r="B5" s="85" t="s">
        <v>276</v>
      </c>
      <c r="C5" s="86">
        <v>1.548</v>
      </c>
      <c r="D5" s="87">
        <v>42870</v>
      </c>
      <c r="E5" s="88">
        <v>2.276678E-2</v>
      </c>
      <c r="F5" s="88">
        <v>0</v>
      </c>
      <c r="G5" s="88">
        <v>101.745</v>
      </c>
      <c r="H5" s="88">
        <v>101.745</v>
      </c>
      <c r="I5" s="88">
        <v>101.745</v>
      </c>
      <c r="J5" s="89">
        <v>42305</v>
      </c>
      <c r="K5" s="90" t="s">
        <v>56</v>
      </c>
      <c r="L5" s="90" t="s">
        <v>268</v>
      </c>
      <c r="M5" s="90" t="s">
        <v>219</v>
      </c>
      <c r="N5" s="90" t="s">
        <v>269</v>
      </c>
      <c r="O5" s="91">
        <v>42303.638067129628</v>
      </c>
      <c r="P5" s="90" t="s">
        <v>58</v>
      </c>
      <c r="Q5" s="90" t="s">
        <v>41</v>
      </c>
      <c r="R5" s="90" t="s">
        <v>42</v>
      </c>
      <c r="S5" s="90" t="s">
        <v>270</v>
      </c>
      <c r="T5" s="90"/>
      <c r="U5" s="90" t="s">
        <v>271</v>
      </c>
      <c r="V5" s="90" t="s">
        <v>271</v>
      </c>
      <c r="W5" s="90" t="s">
        <v>272</v>
      </c>
      <c r="X5" s="90">
        <v>2</v>
      </c>
      <c r="Y5" s="90">
        <v>1</v>
      </c>
      <c r="Z5" s="88">
        <v>1.1499999999999999</v>
      </c>
      <c r="AA5" s="92">
        <v>1</v>
      </c>
      <c r="AB5" s="88">
        <v>0</v>
      </c>
      <c r="AC5" s="90" t="s">
        <v>273</v>
      </c>
      <c r="AD5" s="88">
        <v>100</v>
      </c>
      <c r="AE5" s="90"/>
      <c r="AF5" s="90"/>
    </row>
    <row r="6" spans="1:32" x14ac:dyDescent="0.2">
      <c r="A6" s="85" t="s">
        <v>60</v>
      </c>
      <c r="B6" s="85" t="s">
        <v>277</v>
      </c>
      <c r="C6" s="86">
        <v>2.548</v>
      </c>
      <c r="D6" s="87">
        <v>43235</v>
      </c>
      <c r="E6" s="88">
        <v>0.151900809</v>
      </c>
      <c r="F6" s="88">
        <v>0</v>
      </c>
      <c r="G6" s="88">
        <v>100.25</v>
      </c>
      <c r="H6" s="88">
        <v>100.25</v>
      </c>
      <c r="I6" s="88">
        <v>100.25</v>
      </c>
      <c r="J6" s="89">
        <v>42305</v>
      </c>
      <c r="K6" s="90" t="s">
        <v>56</v>
      </c>
      <c r="L6" s="90" t="s">
        <v>268</v>
      </c>
      <c r="M6" s="90" t="s">
        <v>219</v>
      </c>
      <c r="N6" s="90" t="s">
        <v>269</v>
      </c>
      <c r="O6" s="91">
        <v>42303.671469907407</v>
      </c>
      <c r="P6" s="90" t="s">
        <v>61</v>
      </c>
      <c r="Q6" s="90" t="s">
        <v>41</v>
      </c>
      <c r="R6" s="90" t="s">
        <v>42</v>
      </c>
      <c r="S6" s="90" t="s">
        <v>270</v>
      </c>
      <c r="T6" s="90"/>
      <c r="U6" s="90" t="s">
        <v>271</v>
      </c>
      <c r="V6" s="90" t="s">
        <v>271</v>
      </c>
      <c r="W6" s="90" t="s">
        <v>272</v>
      </c>
      <c r="X6" s="90">
        <v>2</v>
      </c>
      <c r="Y6" s="90">
        <v>1</v>
      </c>
      <c r="Z6" s="88">
        <v>0.25</v>
      </c>
      <c r="AA6" s="92">
        <v>1</v>
      </c>
      <c r="AB6" s="88">
        <v>0</v>
      </c>
      <c r="AC6" s="90" t="s">
        <v>273</v>
      </c>
      <c r="AD6" s="88">
        <v>100</v>
      </c>
      <c r="AE6" s="90"/>
      <c r="AF6" s="90"/>
    </row>
    <row r="7" spans="1:32" x14ac:dyDescent="0.2">
      <c r="A7" s="85" t="s">
        <v>63</v>
      </c>
      <c r="B7" s="85" t="s">
        <v>278</v>
      </c>
      <c r="C7" s="86">
        <v>3.51</v>
      </c>
      <c r="D7" s="87">
        <v>43586</v>
      </c>
      <c r="E7" s="88">
        <v>0.30513200099999999</v>
      </c>
      <c r="F7" s="88">
        <v>0</v>
      </c>
      <c r="G7" s="88">
        <v>107.685</v>
      </c>
      <c r="H7" s="88">
        <v>107.685</v>
      </c>
      <c r="I7" s="88">
        <v>107.685</v>
      </c>
      <c r="J7" s="89">
        <v>42305</v>
      </c>
      <c r="K7" s="90" t="s">
        <v>56</v>
      </c>
      <c r="L7" s="90" t="s">
        <v>268</v>
      </c>
      <c r="M7" s="90" t="s">
        <v>219</v>
      </c>
      <c r="N7" s="90" t="s">
        <v>269</v>
      </c>
      <c r="O7" s="91">
        <v>42299.645833333336</v>
      </c>
      <c r="P7" s="90" t="s">
        <v>64</v>
      </c>
      <c r="Q7" s="90" t="s">
        <v>41</v>
      </c>
      <c r="R7" s="90" t="s">
        <v>42</v>
      </c>
      <c r="S7" s="90" t="s">
        <v>270</v>
      </c>
      <c r="T7" s="90"/>
      <c r="U7" s="90" t="s">
        <v>271</v>
      </c>
      <c r="V7" s="90" t="s">
        <v>271</v>
      </c>
      <c r="W7" s="90" t="s">
        <v>272</v>
      </c>
      <c r="X7" s="90">
        <v>2</v>
      </c>
      <c r="Y7" s="90">
        <v>1</v>
      </c>
      <c r="Z7" s="88">
        <v>2.5</v>
      </c>
      <c r="AA7" s="92">
        <v>1</v>
      </c>
      <c r="AB7" s="88">
        <v>0</v>
      </c>
      <c r="AC7" s="90" t="s">
        <v>273</v>
      </c>
      <c r="AD7" s="88">
        <v>100</v>
      </c>
      <c r="AE7" s="90"/>
      <c r="AF7" s="90"/>
    </row>
    <row r="8" spans="1:32" x14ac:dyDescent="0.2">
      <c r="A8" s="85" t="s">
        <v>66</v>
      </c>
      <c r="B8" s="85" t="s">
        <v>279</v>
      </c>
      <c r="C8" s="86">
        <v>4.5119999999999996</v>
      </c>
      <c r="D8" s="87">
        <v>43952</v>
      </c>
      <c r="E8" s="88">
        <v>0.52110523900000005</v>
      </c>
      <c r="F8" s="88">
        <v>0</v>
      </c>
      <c r="G8" s="88">
        <v>100.80500000000001</v>
      </c>
      <c r="H8" s="88">
        <v>100.80500000000001</v>
      </c>
      <c r="I8" s="88">
        <v>100.80500000000001</v>
      </c>
      <c r="J8" s="89">
        <v>42305</v>
      </c>
      <c r="K8" s="90" t="s">
        <v>56</v>
      </c>
      <c r="L8" s="90" t="s">
        <v>268</v>
      </c>
      <c r="M8" s="90" t="s">
        <v>219</v>
      </c>
      <c r="N8" s="90" t="s">
        <v>269</v>
      </c>
      <c r="O8" s="91">
        <v>42303.624409722222</v>
      </c>
      <c r="P8" s="90" t="s">
        <v>67</v>
      </c>
      <c r="Q8" s="90" t="s">
        <v>41</v>
      </c>
      <c r="R8" s="90" t="s">
        <v>42</v>
      </c>
      <c r="S8" s="90" t="s">
        <v>270</v>
      </c>
      <c r="T8" s="90"/>
      <c r="U8" s="90" t="s">
        <v>271</v>
      </c>
      <c r="V8" s="90" t="s">
        <v>271</v>
      </c>
      <c r="W8" s="90" t="s">
        <v>272</v>
      </c>
      <c r="X8" s="90">
        <v>2</v>
      </c>
      <c r="Y8" s="90">
        <v>1</v>
      </c>
      <c r="Z8" s="88">
        <v>0.7</v>
      </c>
      <c r="AA8" s="92">
        <v>1</v>
      </c>
      <c r="AB8" s="88">
        <v>0</v>
      </c>
      <c r="AC8" s="90" t="s">
        <v>273</v>
      </c>
      <c r="AD8" s="88">
        <v>100</v>
      </c>
      <c r="AE8" s="90"/>
      <c r="AF8" s="90"/>
    </row>
    <row r="9" spans="1:32" x14ac:dyDescent="0.2">
      <c r="A9" s="85" t="s">
        <v>69</v>
      </c>
      <c r="B9" s="85" t="s">
        <v>280</v>
      </c>
      <c r="C9" s="86">
        <v>5.5119999999999996</v>
      </c>
      <c r="D9" s="87">
        <v>44317</v>
      </c>
      <c r="E9" s="88">
        <v>0.81235396599999998</v>
      </c>
      <c r="F9" s="88">
        <v>0</v>
      </c>
      <c r="G9" s="88">
        <v>116.04</v>
      </c>
      <c r="H9" s="88">
        <v>116.04</v>
      </c>
      <c r="I9" s="88">
        <v>116.04</v>
      </c>
      <c r="J9" s="89">
        <v>42305</v>
      </c>
      <c r="K9" s="90" t="s">
        <v>56</v>
      </c>
      <c r="L9" s="90" t="s">
        <v>268</v>
      </c>
      <c r="M9" s="90" t="s">
        <v>219</v>
      </c>
      <c r="N9" s="90" t="s">
        <v>269</v>
      </c>
      <c r="O9" s="91">
        <v>42303.340613425928</v>
      </c>
      <c r="P9" s="90" t="s">
        <v>70</v>
      </c>
      <c r="Q9" s="90" t="s">
        <v>41</v>
      </c>
      <c r="R9" s="90" t="s">
        <v>42</v>
      </c>
      <c r="S9" s="90" t="s">
        <v>270</v>
      </c>
      <c r="T9" s="90"/>
      <c r="U9" s="90" t="s">
        <v>271</v>
      </c>
      <c r="V9" s="90" t="s">
        <v>271</v>
      </c>
      <c r="W9" s="90" t="s">
        <v>272</v>
      </c>
      <c r="X9" s="90">
        <v>2</v>
      </c>
      <c r="Y9" s="90">
        <v>1</v>
      </c>
      <c r="Z9" s="88">
        <v>3.75</v>
      </c>
      <c r="AA9" s="92">
        <v>1</v>
      </c>
      <c r="AB9" s="88">
        <v>0</v>
      </c>
      <c r="AC9" s="90" t="s">
        <v>273</v>
      </c>
      <c r="AD9" s="88">
        <v>100</v>
      </c>
      <c r="AE9" s="90"/>
      <c r="AF9" s="90"/>
    </row>
    <row r="10" spans="1:32" x14ac:dyDescent="0.2">
      <c r="A10" s="85" t="s">
        <v>72</v>
      </c>
      <c r="B10" s="85" t="s">
        <v>281</v>
      </c>
      <c r="C10" s="86">
        <v>6.468</v>
      </c>
      <c r="D10" s="87">
        <v>44666</v>
      </c>
      <c r="E10" s="88">
        <v>1.0117509769999999</v>
      </c>
      <c r="F10" s="88">
        <v>0</v>
      </c>
      <c r="G10" s="88">
        <v>102.215</v>
      </c>
      <c r="H10" s="88">
        <v>102.215</v>
      </c>
      <c r="I10" s="88">
        <v>102.215</v>
      </c>
      <c r="J10" s="89">
        <v>42305</v>
      </c>
      <c r="K10" s="90" t="s">
        <v>56</v>
      </c>
      <c r="L10" s="90" t="s">
        <v>268</v>
      </c>
      <c r="M10" s="90" t="s">
        <v>219</v>
      </c>
      <c r="N10" s="90" t="s">
        <v>269</v>
      </c>
      <c r="O10" s="91">
        <v>42303.614328703705</v>
      </c>
      <c r="P10" s="90" t="s">
        <v>73</v>
      </c>
      <c r="Q10" s="90" t="s">
        <v>41</v>
      </c>
      <c r="R10" s="90" t="s">
        <v>42</v>
      </c>
      <c r="S10" s="90" t="s">
        <v>270</v>
      </c>
      <c r="T10" s="90"/>
      <c r="U10" s="90" t="s">
        <v>271</v>
      </c>
      <c r="V10" s="90" t="s">
        <v>271</v>
      </c>
      <c r="W10" s="90" t="s">
        <v>272</v>
      </c>
      <c r="X10" s="90">
        <v>2</v>
      </c>
      <c r="Y10" s="90">
        <v>1</v>
      </c>
      <c r="Z10" s="88">
        <v>1.35</v>
      </c>
      <c r="AA10" s="92">
        <v>1</v>
      </c>
      <c r="AB10" s="88">
        <v>0</v>
      </c>
      <c r="AC10" s="90" t="s">
        <v>273</v>
      </c>
      <c r="AD10" s="88">
        <v>100</v>
      </c>
      <c r="AE10" s="90"/>
      <c r="AF10" s="90"/>
    </row>
    <row r="11" spans="1:32" x14ac:dyDescent="0.2">
      <c r="A11" s="85" t="s">
        <v>75</v>
      </c>
      <c r="B11" s="85" t="s">
        <v>282</v>
      </c>
      <c r="C11" s="86">
        <v>7.5119999999999996</v>
      </c>
      <c r="D11" s="87">
        <v>45047</v>
      </c>
      <c r="E11" s="88">
        <v>1.299234378</v>
      </c>
      <c r="F11" s="88">
        <v>0</v>
      </c>
      <c r="G11" s="88">
        <v>123.545</v>
      </c>
      <c r="H11" s="88">
        <v>123.545</v>
      </c>
      <c r="I11" s="88">
        <v>123.545</v>
      </c>
      <c r="J11" s="89">
        <v>42305</v>
      </c>
      <c r="K11" s="90" t="s">
        <v>56</v>
      </c>
      <c r="L11" s="90" t="s">
        <v>268</v>
      </c>
      <c r="M11" s="90" t="s">
        <v>219</v>
      </c>
      <c r="N11" s="90" t="s">
        <v>269</v>
      </c>
      <c r="O11" s="91">
        <v>42303.616296296299</v>
      </c>
      <c r="P11" s="90" t="s">
        <v>76</v>
      </c>
      <c r="Q11" s="90" t="s">
        <v>41</v>
      </c>
      <c r="R11" s="90" t="s">
        <v>42</v>
      </c>
      <c r="S11" s="90" t="s">
        <v>270</v>
      </c>
      <c r="T11" s="90"/>
      <c r="U11" s="90" t="s">
        <v>271</v>
      </c>
      <c r="V11" s="90" t="s">
        <v>271</v>
      </c>
      <c r="W11" s="90" t="s">
        <v>272</v>
      </c>
      <c r="X11" s="90">
        <v>2</v>
      </c>
      <c r="Y11" s="90">
        <v>1</v>
      </c>
      <c r="Z11" s="88">
        <v>4.5</v>
      </c>
      <c r="AA11" s="92">
        <v>1</v>
      </c>
      <c r="AB11" s="88">
        <v>0</v>
      </c>
      <c r="AC11" s="90" t="s">
        <v>273</v>
      </c>
      <c r="AD11" s="88">
        <v>100</v>
      </c>
      <c r="AE11" s="90"/>
      <c r="AF11" s="90"/>
    </row>
    <row r="12" spans="1:32" x14ac:dyDescent="0.2">
      <c r="A12" s="85" t="s">
        <v>78</v>
      </c>
      <c r="B12" s="85" t="s">
        <v>283</v>
      </c>
      <c r="C12" s="86">
        <v>8.3480000000000008</v>
      </c>
      <c r="D12" s="87">
        <v>45352</v>
      </c>
      <c r="E12" s="88">
        <v>1.4665696779999999</v>
      </c>
      <c r="F12" s="88">
        <v>0</v>
      </c>
      <c r="G12" s="88">
        <v>124.66</v>
      </c>
      <c r="H12" s="88">
        <v>124.66</v>
      </c>
      <c r="I12" s="88">
        <v>124.66</v>
      </c>
      <c r="J12" s="89">
        <v>42305</v>
      </c>
      <c r="K12" s="90" t="s">
        <v>56</v>
      </c>
      <c r="L12" s="90" t="s">
        <v>268</v>
      </c>
      <c r="M12" s="90" t="s">
        <v>219</v>
      </c>
      <c r="N12" s="90" t="s">
        <v>269</v>
      </c>
      <c r="O12" s="91">
        <v>42300.645833333336</v>
      </c>
      <c r="P12" s="90" t="s">
        <v>79</v>
      </c>
      <c r="Q12" s="90" t="s">
        <v>41</v>
      </c>
      <c r="R12" s="90" t="s">
        <v>42</v>
      </c>
      <c r="S12" s="90" t="s">
        <v>270</v>
      </c>
      <c r="T12" s="90"/>
      <c r="U12" s="90" t="s">
        <v>271</v>
      </c>
      <c r="V12" s="90" t="s">
        <v>271</v>
      </c>
      <c r="W12" s="90" t="s">
        <v>272</v>
      </c>
      <c r="X12" s="90">
        <v>2</v>
      </c>
      <c r="Y12" s="90">
        <v>1</v>
      </c>
      <c r="Z12" s="88">
        <v>4.5</v>
      </c>
      <c r="AA12" s="92">
        <v>1</v>
      </c>
      <c r="AB12" s="88">
        <v>0</v>
      </c>
      <c r="AC12" s="90" t="s">
        <v>273</v>
      </c>
      <c r="AD12" s="88">
        <v>100</v>
      </c>
      <c r="AE12" s="90"/>
      <c r="AF12" s="90"/>
    </row>
    <row r="13" spans="1:32" x14ac:dyDescent="0.2">
      <c r="A13" s="85" t="s">
        <v>81</v>
      </c>
      <c r="B13" s="85" t="s">
        <v>284</v>
      </c>
      <c r="C13" s="86">
        <v>9.6</v>
      </c>
      <c r="D13" s="87">
        <v>45809</v>
      </c>
      <c r="E13" s="88">
        <v>1.5141384600000001</v>
      </c>
      <c r="F13" s="88">
        <v>0</v>
      </c>
      <c r="G13" s="88">
        <v>100.16500000000001</v>
      </c>
      <c r="H13" s="88">
        <v>100.16500000000001</v>
      </c>
      <c r="I13" s="88">
        <v>100.16500000000001</v>
      </c>
      <c r="J13" s="89">
        <v>42305</v>
      </c>
      <c r="K13" s="90" t="s">
        <v>56</v>
      </c>
      <c r="L13" s="90" t="s">
        <v>268</v>
      </c>
      <c r="M13" s="90" t="s">
        <v>219</v>
      </c>
      <c r="N13" s="90" t="s">
        <v>269</v>
      </c>
      <c r="O13" s="91">
        <v>42303.355868055558</v>
      </c>
      <c r="P13" s="90" t="s">
        <v>82</v>
      </c>
      <c r="Q13" s="90" t="s">
        <v>41</v>
      </c>
      <c r="R13" s="90" t="s">
        <v>42</v>
      </c>
      <c r="S13" s="90" t="s">
        <v>270</v>
      </c>
      <c r="T13" s="90"/>
      <c r="U13" s="90" t="s">
        <v>271</v>
      </c>
      <c r="V13" s="90" t="s">
        <v>271</v>
      </c>
      <c r="W13" s="90" t="s">
        <v>272</v>
      </c>
      <c r="X13" s="90">
        <v>2</v>
      </c>
      <c r="Y13" s="90">
        <v>2</v>
      </c>
      <c r="Z13" s="88">
        <v>1.5</v>
      </c>
      <c r="AA13" s="92">
        <v>1</v>
      </c>
      <c r="AB13" s="88">
        <v>0</v>
      </c>
      <c r="AC13" s="90" t="s">
        <v>273</v>
      </c>
      <c r="AD13" s="88">
        <v>100</v>
      </c>
      <c r="AE13" s="90"/>
      <c r="AF13" s="90"/>
    </row>
    <row r="14" spans="1:32" x14ac:dyDescent="0.2">
      <c r="A14" s="85" t="s">
        <v>84</v>
      </c>
      <c r="B14" s="85" t="s">
        <v>285</v>
      </c>
      <c r="C14" s="86">
        <v>16.353000000000002</v>
      </c>
      <c r="D14" s="87">
        <v>48274</v>
      </c>
      <c r="E14" s="88">
        <v>2.0524897050000002</v>
      </c>
      <c r="F14" s="88">
        <v>0</v>
      </c>
      <c r="G14" s="88">
        <v>95.305000000000007</v>
      </c>
      <c r="H14" s="88">
        <v>95.305000000000007</v>
      </c>
      <c r="I14" s="88">
        <v>95.305000000000007</v>
      </c>
      <c r="J14" s="89">
        <v>42305</v>
      </c>
      <c r="K14" s="90" t="s">
        <v>56</v>
      </c>
      <c r="L14" s="90" t="s">
        <v>268</v>
      </c>
      <c r="M14" s="90" t="s">
        <v>219</v>
      </c>
      <c r="N14" s="90" t="s">
        <v>269</v>
      </c>
      <c r="O14" s="91">
        <v>42303.673576388886</v>
      </c>
      <c r="P14" s="90" t="s">
        <v>85</v>
      </c>
      <c r="Q14" s="90" t="s">
        <v>41</v>
      </c>
      <c r="R14" s="90" t="s">
        <v>42</v>
      </c>
      <c r="S14" s="90" t="s">
        <v>270</v>
      </c>
      <c r="T14" s="90"/>
      <c r="U14" s="90" t="s">
        <v>271</v>
      </c>
      <c r="V14" s="90" t="s">
        <v>271</v>
      </c>
      <c r="W14" s="90" t="s">
        <v>272</v>
      </c>
      <c r="X14" s="90">
        <v>2</v>
      </c>
      <c r="Y14" s="90">
        <v>1</v>
      </c>
      <c r="Z14" s="88">
        <v>1.65</v>
      </c>
      <c r="AA14" s="92">
        <v>1</v>
      </c>
      <c r="AB14" s="88">
        <v>0</v>
      </c>
      <c r="AC14" s="90" t="s">
        <v>273</v>
      </c>
      <c r="AD14" s="88">
        <v>100</v>
      </c>
      <c r="AE14" s="90"/>
      <c r="AF14" s="90"/>
    </row>
    <row r="15" spans="1:32" x14ac:dyDescent="0.2">
      <c r="A15" s="85" t="s">
        <v>87</v>
      </c>
      <c r="B15" s="85" t="s">
        <v>286</v>
      </c>
      <c r="C15" s="86">
        <v>18.773</v>
      </c>
      <c r="D15" s="87">
        <v>49157</v>
      </c>
      <c r="E15" s="88">
        <v>2.5717639449999998</v>
      </c>
      <c r="F15" s="88">
        <v>0</v>
      </c>
      <c r="G15" s="88">
        <v>141.80000000000001</v>
      </c>
      <c r="H15" s="88">
        <v>141.80000000000001</v>
      </c>
      <c r="I15" s="88">
        <v>141.80000000000001</v>
      </c>
      <c r="J15" s="89">
        <v>42305</v>
      </c>
      <c r="K15" s="90" t="s">
        <v>56</v>
      </c>
      <c r="L15" s="90" t="s">
        <v>268</v>
      </c>
      <c r="M15" s="90" t="s">
        <v>219</v>
      </c>
      <c r="N15" s="90" t="s">
        <v>269</v>
      </c>
      <c r="O15" s="91">
        <v>42300.645833333336</v>
      </c>
      <c r="P15" s="90" t="s">
        <v>88</v>
      </c>
      <c r="Q15" s="90" t="s">
        <v>41</v>
      </c>
      <c r="R15" s="90" t="s">
        <v>42</v>
      </c>
      <c r="S15" s="90" t="s">
        <v>270</v>
      </c>
      <c r="T15" s="90"/>
      <c r="U15" s="90" t="s">
        <v>271</v>
      </c>
      <c r="V15" s="90" t="s">
        <v>271</v>
      </c>
      <c r="W15" s="90" t="s">
        <v>272</v>
      </c>
      <c r="X15" s="90">
        <v>2</v>
      </c>
      <c r="Y15" s="90">
        <v>2</v>
      </c>
      <c r="Z15" s="88">
        <v>5</v>
      </c>
      <c r="AA15" s="92">
        <v>1</v>
      </c>
      <c r="AB15" s="88">
        <v>0</v>
      </c>
      <c r="AC15" s="90" t="s">
        <v>273</v>
      </c>
      <c r="AD15" s="88">
        <v>100</v>
      </c>
      <c r="AE15" s="90"/>
      <c r="AF15" s="90"/>
    </row>
    <row r="16" spans="1:32" x14ac:dyDescent="0.2">
      <c r="A16" s="85" t="s">
        <v>90</v>
      </c>
      <c r="B16" s="85" t="s">
        <v>287</v>
      </c>
      <c r="C16" s="86">
        <v>30.866</v>
      </c>
      <c r="D16" s="87">
        <v>53571</v>
      </c>
      <c r="E16" s="88">
        <v>2.7983623199999998</v>
      </c>
      <c r="F16" s="88">
        <v>0</v>
      </c>
      <c r="G16" s="88">
        <v>114.08</v>
      </c>
      <c r="H16" s="88">
        <v>114.08</v>
      </c>
      <c r="I16" s="88">
        <v>114.08</v>
      </c>
      <c r="J16" s="89">
        <v>42305</v>
      </c>
      <c r="K16" s="90" t="s">
        <v>56</v>
      </c>
      <c r="L16" s="90" t="s">
        <v>268</v>
      </c>
      <c r="M16" s="90" t="s">
        <v>219</v>
      </c>
      <c r="N16" s="90" t="s">
        <v>269</v>
      </c>
      <c r="O16" s="91">
        <v>42300.645833333336</v>
      </c>
      <c r="P16" s="90" t="s">
        <v>91</v>
      </c>
      <c r="Q16" s="90" t="s">
        <v>41</v>
      </c>
      <c r="R16" s="90" t="s">
        <v>42</v>
      </c>
      <c r="S16" s="90" t="s">
        <v>270</v>
      </c>
      <c r="T16" s="90"/>
      <c r="U16" s="90" t="s">
        <v>271</v>
      </c>
      <c r="V16" s="90" t="s">
        <v>271</v>
      </c>
      <c r="W16" s="90" t="s">
        <v>272</v>
      </c>
      <c r="X16" s="90">
        <v>2</v>
      </c>
      <c r="Y16" s="90">
        <v>2</v>
      </c>
      <c r="Z16" s="88">
        <v>3.25</v>
      </c>
      <c r="AA16" s="92">
        <v>1</v>
      </c>
      <c r="AB16" s="88">
        <v>0</v>
      </c>
      <c r="AC16" s="90" t="s">
        <v>273</v>
      </c>
      <c r="AD16" s="88">
        <v>100</v>
      </c>
      <c r="AE16" s="90"/>
      <c r="AF16" s="90"/>
    </row>
    <row r="17" spans="1:32" x14ac:dyDescent="0.2">
      <c r="A17" s="85"/>
      <c r="B17" s="85"/>
      <c r="C17" s="85"/>
      <c r="D17" s="85"/>
      <c r="E17" s="86"/>
      <c r="F17" s="86"/>
      <c r="G17" s="86"/>
      <c r="H17" s="86"/>
      <c r="I17" s="86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6"/>
      <c r="AA17" s="93"/>
      <c r="AB17" s="86"/>
      <c r="AC17" s="85"/>
      <c r="AD17" s="86"/>
      <c r="AE17" s="85"/>
      <c r="AF17" s="8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Sheet1</vt:lpstr>
      <vt:lpstr>InputData</vt:lpstr>
      <vt:lpstr>BondCurveInputData</vt:lpstr>
      <vt:lpstr>BondCurve</vt:lpstr>
      <vt:lpstr>DAti_MF</vt:lpstr>
    </vt:vector>
  </TitlesOfParts>
  <Company>QuantLib -- http://quantlib.org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Ferdinando Ametrano</dc:creator>
  <cp:lastModifiedBy>buttara4</cp:lastModifiedBy>
  <dcterms:created xsi:type="dcterms:W3CDTF">2008-08-26T10:52:25Z</dcterms:created>
  <dcterms:modified xsi:type="dcterms:W3CDTF">2015-10-27T08:04:44Z</dcterms:modified>
</cp:coreProperties>
</file>