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230" tabRatio="768" firstSheet="17" activeTab="25"/>
  </bookViews>
  <sheets>
    <sheet name="CurvaGVtItalia" sheetId="20" r:id="rId1"/>
    <sheet name="CurvaSwap6M" sheetId="12" r:id="rId2"/>
    <sheet name="CurvaEonia" sheetId="1" r:id="rId3"/>
    <sheet name="1.DatiInput_Swap6M" sheetId="13" r:id="rId4"/>
    <sheet name="1.DatiInputGVT" sheetId="21" r:id="rId5"/>
    <sheet name="1_DatiInput_Eonia" sheetId="2" r:id="rId6"/>
    <sheet name="2.Versione" sheetId="3" r:id="rId7"/>
    <sheet name="3.DataAnalisi" sheetId="4" r:id="rId8"/>
    <sheet name="4.Index_EONIA&amp;Swap6M" sheetId="5" r:id="rId9"/>
    <sheet name="5.Deposits_EONIA" sheetId="6" r:id="rId10"/>
    <sheet name="5.Deposits_Swap6M" sheetId="14" r:id="rId11"/>
    <sheet name="5.TassiGovernativi" sheetId="22" r:id="rId12"/>
    <sheet name="6.FRA_Swap6M" sheetId="15" r:id="rId13"/>
    <sheet name="6.Piecewise_YieldCurve_ITL" sheetId="23" r:id="rId14"/>
    <sheet name="6.OIS_EONIA" sheetId="7" r:id="rId15"/>
    <sheet name="7_Swap6M" sheetId="16" r:id="rId16"/>
    <sheet name="8.Piecewise_YieldCurve_EONIA" sheetId="9" r:id="rId17"/>
    <sheet name="7.RatesHelperSelection_EONIA" sheetId="8" r:id="rId18"/>
    <sheet name="8.RatesHelperSelection_SW6" sheetId="17" r:id="rId19"/>
    <sheet name="9.Piecewise_YieldCurve_SW6" sheetId="18" r:id="rId20"/>
    <sheet name="9.Curve" sheetId="10" r:id="rId21"/>
    <sheet name="10.CurvaEonia" sheetId="11" r:id="rId22"/>
    <sheet name="10.CurvaSwap6M" sheetId="24" r:id="rId23"/>
    <sheet name="10.CurvaGovernativa" sheetId="28" r:id="rId24"/>
    <sheet name="11.BondTassoFisso" sheetId="29" r:id="rId25"/>
    <sheet name="12.BondTassoVariabile" sheetId="30" r:id="rId26"/>
  </sheets>
  <externalReferences>
    <externalReference r:id="rId27"/>
  </externalReferences>
  <definedNames>
    <definedName name="_xlnm._FilterDatabase" localSheetId="2" hidden="1">CurvaEonia!$A$1:$R$81</definedName>
    <definedName name="_xlnm._FilterDatabase" localSheetId="0" hidden="1">CurvaGVtItalia!$A$1:$AB$128</definedName>
    <definedName name="_xlnm._FilterDatabase" localSheetId="1" hidden="1">CurvaSwap6M!$A$1:$S$123</definedName>
  </definedNames>
  <calcPr calcId="145621"/>
</workbook>
</file>

<file path=xl/calcChain.xml><?xml version="1.0" encoding="utf-8"?>
<calcChain xmlns="http://schemas.openxmlformats.org/spreadsheetml/2006/main">
  <c r="BS3" i="30" l="1"/>
  <c r="BN13" i="30"/>
  <c r="BN10" i="30"/>
  <c r="AX3" i="30"/>
  <c r="BN11" i="30"/>
  <c r="BO3" i="30" l="1"/>
  <c r="AP3" i="30"/>
  <c r="BL3" i="30"/>
  <c r="AY3" i="30"/>
  <c r="BM3" i="30"/>
  <c r="F3" i="30" l="1"/>
  <c r="B6" i="5"/>
  <c r="F3" i="29" l="1"/>
  <c r="D10" i="22" l="1"/>
  <c r="R10" i="22" s="1"/>
  <c r="F10" i="22"/>
  <c r="J10" i="22"/>
  <c r="AL10" i="22"/>
  <c r="D11" i="22"/>
  <c r="R11" i="22" s="1"/>
  <c r="Z11" i="22" s="1"/>
  <c r="F11" i="22"/>
  <c r="J11" i="22"/>
  <c r="AL11" i="22"/>
  <c r="D12" i="22"/>
  <c r="AK12" i="22" s="1"/>
  <c r="F12" i="22"/>
  <c r="J12" i="22"/>
  <c r="AL12" i="22"/>
  <c r="D13" i="22"/>
  <c r="R13" i="22" s="1"/>
  <c r="F13" i="22"/>
  <c r="J13" i="22"/>
  <c r="AL13" i="22"/>
  <c r="D14" i="22"/>
  <c r="R14" i="22" s="1"/>
  <c r="F14" i="22"/>
  <c r="J14" i="22"/>
  <c r="AL14" i="22"/>
  <c r="D15" i="22"/>
  <c r="R15" i="22" s="1"/>
  <c r="F15" i="22"/>
  <c r="J15" i="22"/>
  <c r="AL15" i="22"/>
  <c r="D16" i="22"/>
  <c r="R16" i="22" s="1"/>
  <c r="F16" i="22"/>
  <c r="J16" i="22"/>
  <c r="AL16" i="22"/>
  <c r="D17" i="22"/>
  <c r="R17" i="22" s="1"/>
  <c r="Z17" i="22" s="1"/>
  <c r="F17" i="22"/>
  <c r="J17" i="22"/>
  <c r="AL17" i="22"/>
  <c r="D18" i="22"/>
  <c r="R18" i="22" s="1"/>
  <c r="F18" i="22"/>
  <c r="J18" i="22"/>
  <c r="AL18" i="22"/>
  <c r="D19" i="22"/>
  <c r="R19" i="22" s="1"/>
  <c r="F19" i="22"/>
  <c r="J19" i="22"/>
  <c r="AL19" i="22"/>
  <c r="D20" i="22"/>
  <c r="AK20" i="22" s="1"/>
  <c r="F20" i="22"/>
  <c r="J20" i="22"/>
  <c r="AL20" i="22"/>
  <c r="D21" i="22"/>
  <c r="R21" i="22" s="1"/>
  <c r="Z21" i="22" s="1"/>
  <c r="F21" i="22"/>
  <c r="J21" i="22"/>
  <c r="AL21" i="22"/>
  <c r="D22" i="22"/>
  <c r="R22" i="22" s="1"/>
  <c r="F22" i="22"/>
  <c r="J22" i="22"/>
  <c r="AL22" i="22"/>
  <c r="D23" i="22"/>
  <c r="R23" i="22" s="1"/>
  <c r="F23" i="22"/>
  <c r="J23" i="22"/>
  <c r="AL23" i="22"/>
  <c r="D24" i="22"/>
  <c r="R24" i="22" s="1"/>
  <c r="F24" i="22"/>
  <c r="J24" i="22"/>
  <c r="AL24" i="22"/>
  <c r="AK24" i="22" l="1"/>
  <c r="R20" i="22"/>
  <c r="Z20" i="22" s="1"/>
  <c r="R12" i="22"/>
  <c r="Z12" i="22" s="1"/>
  <c r="AK10" i="22"/>
  <c r="AK16" i="22"/>
  <c r="AK11" i="22"/>
  <c r="AA17" i="22"/>
  <c r="AK22" i="22"/>
  <c r="AK18" i="22"/>
  <c r="AK14" i="22"/>
  <c r="G23" i="22"/>
  <c r="AK23" i="22"/>
  <c r="G19" i="22"/>
  <c r="AK13" i="22"/>
  <c r="Z14" i="22"/>
  <c r="AA14" i="22"/>
  <c r="G14" i="22"/>
  <c r="Z23" i="22"/>
  <c r="AA19" i="22"/>
  <c r="AA18" i="22"/>
  <c r="Z18" i="22"/>
  <c r="G18" i="22"/>
  <c r="G13" i="22"/>
  <c r="Z24" i="22"/>
  <c r="AA24" i="22"/>
  <c r="G24" i="22"/>
  <c r="AA23" i="22"/>
  <c r="AK19" i="22"/>
  <c r="AA13" i="22"/>
  <c r="AA20" i="22"/>
  <c r="G15" i="22"/>
  <c r="Z13" i="22"/>
  <c r="G10" i="22"/>
  <c r="Z10" i="22"/>
  <c r="AA10" i="22"/>
  <c r="Z19" i="22"/>
  <c r="AK15" i="22"/>
  <c r="G11" i="22"/>
  <c r="G21" i="22"/>
  <c r="AA16" i="22"/>
  <c r="Z16" i="22"/>
  <c r="G16" i="22"/>
  <c r="AA15" i="22"/>
  <c r="AK21" i="22"/>
  <c r="G17" i="22"/>
  <c r="Z15" i="22"/>
  <c r="Z22" i="22"/>
  <c r="AA22" i="22"/>
  <c r="G22" i="22"/>
  <c r="AA21" i="22"/>
  <c r="AK17" i="22"/>
  <c r="AA11" i="22"/>
  <c r="E48" i="28"/>
  <c r="E70" i="28"/>
  <c r="E57" i="28"/>
  <c r="E69" i="28"/>
  <c r="C44" i="28"/>
  <c r="E65" i="28"/>
  <c r="C51" i="28"/>
  <c r="C33" i="28"/>
  <c r="C36" i="28"/>
  <c r="E19" i="28"/>
  <c r="E39" i="28"/>
  <c r="E72" i="28"/>
  <c r="E79" i="28"/>
  <c r="C30" i="28"/>
  <c r="E15" i="28"/>
  <c r="C45" i="28"/>
  <c r="E13" i="28"/>
  <c r="E78" i="28"/>
  <c r="C75" i="28"/>
  <c r="E67" i="28"/>
  <c r="E63" i="28"/>
  <c r="E18" i="28"/>
  <c r="E77" i="28"/>
  <c r="E11" i="28"/>
  <c r="E73" i="28"/>
  <c r="C46" i="28"/>
  <c r="E25" i="28"/>
  <c r="C71" i="28"/>
  <c r="C43" i="28"/>
  <c r="C48" i="28"/>
  <c r="C69" i="28"/>
  <c r="C28" i="28"/>
  <c r="E80" i="28"/>
  <c r="C39" i="28"/>
  <c r="C72" i="28"/>
  <c r="E42" i="28"/>
  <c r="E46" i="28"/>
  <c r="C29" i="28"/>
  <c r="C58" i="28"/>
  <c r="E74" i="28"/>
  <c r="C40" i="28"/>
  <c r="E21" i="28"/>
  <c r="C53" i="28"/>
  <c r="E53" i="28"/>
  <c r="E30" i="28"/>
  <c r="E51" i="28"/>
  <c r="E2" i="28"/>
  <c r="E32" i="28"/>
  <c r="C54" i="28"/>
  <c r="E29" i="28"/>
  <c r="E8" i="28"/>
  <c r="C80" i="28"/>
  <c r="E76" i="28"/>
  <c r="E43" i="28"/>
  <c r="E36" i="28"/>
  <c r="E17" i="28"/>
  <c r="C62" i="28"/>
  <c r="E61" i="28"/>
  <c r="E26" i="28"/>
  <c r="C70" i="28"/>
  <c r="C34" i="28"/>
  <c r="E5" i="28"/>
  <c r="E41" i="28"/>
  <c r="C57" i="28"/>
  <c r="E50" i="28"/>
  <c r="E24" i="28"/>
  <c r="E54" i="28"/>
  <c r="E59" i="28"/>
  <c r="C79" i="28"/>
  <c r="C78" i="28"/>
  <c r="C61" i="28"/>
  <c r="C35" i="28"/>
  <c r="C81" i="28"/>
  <c r="C31" i="28"/>
  <c r="E27" i="28"/>
  <c r="E6" i="28"/>
  <c r="E38" i="28"/>
  <c r="E4" i="28"/>
  <c r="C77" i="28"/>
  <c r="E71" i="28"/>
  <c r="E64" i="28"/>
  <c r="E45" i="28"/>
  <c r="E35" i="28"/>
  <c r="C67" i="28"/>
  <c r="E58" i="28"/>
  <c r="C60" i="28"/>
  <c r="C64" i="28"/>
  <c r="E60" i="28"/>
  <c r="E23" i="28"/>
  <c r="C76" i="28"/>
  <c r="E7" i="28"/>
  <c r="C49" i="28"/>
  <c r="E40" i="28"/>
  <c r="E20" i="28"/>
  <c r="C73" i="28"/>
  <c r="E44" i="28"/>
  <c r="C38" i="28"/>
  <c r="C37" i="28"/>
  <c r="C59" i="28"/>
  <c r="E3" i="28"/>
  <c r="E9" i="28"/>
  <c r="E55" i="28"/>
  <c r="C52" i="28"/>
  <c r="E37" i="28"/>
  <c r="C32" i="28"/>
  <c r="C47" i="28"/>
  <c r="E34" i="28"/>
  <c r="C41" i="28"/>
  <c r="E22" i="28"/>
  <c r="C55" i="28"/>
  <c r="E16" i="28"/>
  <c r="E28" i="28"/>
  <c r="E14" i="28"/>
  <c r="C66" i="28"/>
  <c r="E33" i="28"/>
  <c r="C65" i="28"/>
  <c r="E62" i="28"/>
  <c r="E52" i="28"/>
  <c r="C74" i="28"/>
  <c r="E66" i="28"/>
  <c r="C26" i="28"/>
  <c r="E56" i="28"/>
  <c r="C42" i="28"/>
  <c r="E75" i="28"/>
  <c r="C50" i="28"/>
  <c r="E12" i="28"/>
  <c r="C63" i="28"/>
  <c r="E47" i="28"/>
  <c r="C27" i="28"/>
  <c r="E81" i="28"/>
  <c r="E68" i="28"/>
  <c r="E49" i="28"/>
  <c r="E31" i="28"/>
  <c r="E10" i="28"/>
  <c r="C68" i="28"/>
  <c r="C56" i="28"/>
  <c r="G20" i="22" l="1"/>
  <c r="G12" i="22"/>
  <c r="AA12" i="22"/>
  <c r="AC3" i="22"/>
  <c r="AC4" i="22" s="1"/>
  <c r="AC5" i="22" s="1"/>
  <c r="AC6" i="22" s="1"/>
  <c r="AC7" i="22" s="1"/>
  <c r="AC8" i="22" s="1"/>
  <c r="AC9" i="22" s="1"/>
  <c r="AC10" i="22" s="1"/>
  <c r="AC11" i="22" s="1"/>
  <c r="AC12" i="22" s="1"/>
  <c r="AC13" i="22" s="1"/>
  <c r="AC14" i="22" s="1"/>
  <c r="AC15" i="22" s="1"/>
  <c r="AC16" i="22" s="1"/>
  <c r="AC17" i="22" s="1"/>
  <c r="AC18" i="22" s="1"/>
  <c r="AC19" i="22" s="1"/>
  <c r="AC20" i="22" s="1"/>
  <c r="AC21" i="22" s="1"/>
  <c r="AC22" i="22" s="1"/>
  <c r="AC23" i="22" s="1"/>
  <c r="AC24" i="22" s="1"/>
  <c r="AL3" i="22"/>
  <c r="AL4" i="22"/>
  <c r="AL5" i="22"/>
  <c r="AL6" i="22"/>
  <c r="AL7" i="22"/>
  <c r="AL8" i="22"/>
  <c r="AL9" i="22"/>
  <c r="AL2" i="22"/>
  <c r="AI2" i="22"/>
  <c r="AI3" i="22" s="1"/>
  <c r="AI4" i="22" s="1"/>
  <c r="AI5" i="22" s="1"/>
  <c r="AI6" i="22" s="1"/>
  <c r="D3" i="22"/>
  <c r="R3" i="22" s="1"/>
  <c r="G3" i="22" s="1"/>
  <c r="F3" i="22"/>
  <c r="J3" i="22"/>
  <c r="D4" i="22"/>
  <c r="R4" i="22" s="1"/>
  <c r="G4" i="22" s="1"/>
  <c r="F4" i="22"/>
  <c r="J4" i="22"/>
  <c r="D5" i="22"/>
  <c r="R5" i="22" s="1"/>
  <c r="G5" i="22" s="1"/>
  <c r="F5" i="22"/>
  <c r="J5" i="22"/>
  <c r="D6" i="22"/>
  <c r="AK6" i="22" s="1"/>
  <c r="F6" i="22"/>
  <c r="J6" i="22"/>
  <c r="D7" i="22"/>
  <c r="R7" i="22" s="1"/>
  <c r="G7" i="22" s="1"/>
  <c r="F7" i="22"/>
  <c r="J7" i="22"/>
  <c r="D8" i="22"/>
  <c r="AK8" i="22" s="1"/>
  <c r="F8" i="22"/>
  <c r="J8" i="22"/>
  <c r="D9" i="22"/>
  <c r="R9" i="22" s="1"/>
  <c r="G9" i="22" s="1"/>
  <c r="F9" i="22"/>
  <c r="J9" i="22"/>
  <c r="J2" i="22"/>
  <c r="F2" i="22"/>
  <c r="D2" i="22"/>
  <c r="R2" i="22" s="1"/>
  <c r="Z2" i="22" s="1"/>
  <c r="E58" i="24"/>
  <c r="E77" i="24"/>
  <c r="E70" i="24"/>
  <c r="C48" i="24"/>
  <c r="C54" i="24"/>
  <c r="C50" i="24"/>
  <c r="E66" i="24"/>
  <c r="C79" i="24"/>
  <c r="C74" i="24"/>
  <c r="E45" i="24"/>
  <c r="E63" i="24"/>
  <c r="C60" i="24"/>
  <c r="E61" i="24"/>
  <c r="E60" i="24"/>
  <c r="C44" i="24"/>
  <c r="E79" i="24"/>
  <c r="C77" i="24"/>
  <c r="C43" i="24"/>
  <c r="C51" i="24"/>
  <c r="E42" i="24"/>
  <c r="C68" i="24"/>
  <c r="E64" i="24"/>
  <c r="C40" i="24"/>
  <c r="E47" i="24"/>
  <c r="C58" i="24"/>
  <c r="C55" i="24"/>
  <c r="E41" i="24"/>
  <c r="E54" i="24"/>
  <c r="C73" i="24"/>
  <c r="C66" i="24"/>
  <c r="E68" i="24"/>
  <c r="C59" i="24"/>
  <c r="E46" i="24"/>
  <c r="E43" i="24"/>
  <c r="C63" i="24"/>
  <c r="E65" i="24"/>
  <c r="C53" i="24"/>
  <c r="C80" i="24"/>
  <c r="C78" i="24"/>
  <c r="E56" i="24"/>
  <c r="E55" i="24"/>
  <c r="C71" i="24"/>
  <c r="C69" i="24"/>
  <c r="E71" i="24"/>
  <c r="E81" i="24"/>
  <c r="E44" i="24"/>
  <c r="E73" i="24"/>
  <c r="C67" i="24"/>
  <c r="C76" i="24"/>
  <c r="C65" i="24"/>
  <c r="E78" i="24"/>
  <c r="C62" i="24"/>
  <c r="C70" i="24"/>
  <c r="E69" i="24"/>
  <c r="C75" i="24"/>
  <c r="C47" i="24"/>
  <c r="C46" i="24"/>
  <c r="E49" i="24"/>
  <c r="E80" i="24"/>
  <c r="C72" i="24"/>
  <c r="E52" i="24"/>
  <c r="C52" i="24"/>
  <c r="E48" i="24"/>
  <c r="E75" i="24"/>
  <c r="E53" i="24"/>
  <c r="C64" i="24"/>
  <c r="C81" i="24"/>
  <c r="E59" i="24"/>
  <c r="C57" i="24"/>
  <c r="E72" i="24"/>
  <c r="C49" i="24"/>
  <c r="E57" i="24"/>
  <c r="C45" i="24"/>
  <c r="E62" i="24"/>
  <c r="E51" i="24"/>
  <c r="C56" i="24"/>
  <c r="C41" i="24"/>
  <c r="E40" i="24"/>
  <c r="E67" i="24"/>
  <c r="E50" i="24"/>
  <c r="C61" i="24"/>
  <c r="C42" i="24"/>
  <c r="E74" i="24"/>
  <c r="E76" i="24"/>
  <c r="AK9" i="22" l="1"/>
  <c r="R8" i="22"/>
  <c r="G8" i="22" s="1"/>
  <c r="AD2" i="22"/>
  <c r="AK5" i="22"/>
  <c r="AA9" i="22"/>
  <c r="AK2" i="22"/>
  <c r="AD5" i="22"/>
  <c r="AD4" i="22"/>
  <c r="Z5" i="22"/>
  <c r="AK4" i="22"/>
  <c r="AK7" i="22"/>
  <c r="AK3" i="22"/>
  <c r="R6" i="22"/>
  <c r="G6" i="22" s="1"/>
  <c r="AD3" i="22"/>
  <c r="AA4" i="22"/>
  <c r="Z4" i="22"/>
  <c r="AA3" i="22"/>
  <c r="AA7" i="22"/>
  <c r="Z3" i="22"/>
  <c r="AA2" i="22"/>
  <c r="Z9" i="22"/>
  <c r="Z7" i="22"/>
  <c r="AA5" i="22"/>
  <c r="AD6" i="22"/>
  <c r="AI7" i="22"/>
  <c r="Z8" i="22" l="1"/>
  <c r="AA8" i="22"/>
  <c r="Z6" i="22"/>
  <c r="AA6" i="22"/>
  <c r="AI8" i="22"/>
  <c r="AD7" i="22"/>
  <c r="AD8" i="22" l="1"/>
  <c r="AI9" i="22"/>
  <c r="AI10" i="22" s="1"/>
  <c r="AD10" i="22" l="1"/>
  <c r="AI11" i="22"/>
  <c r="AD9" i="22"/>
  <c r="AI12" i="22" l="1"/>
  <c r="AD11" i="22"/>
  <c r="Z128" i="20"/>
  <c r="AA128" i="20" s="1"/>
  <c r="AB128" i="20" s="1"/>
  <c r="Z127" i="20"/>
  <c r="AA127" i="20" s="1"/>
  <c r="AB127" i="20" s="1"/>
  <c r="Z126" i="20"/>
  <c r="AA126" i="20" s="1"/>
  <c r="AB126" i="20" s="1"/>
  <c r="Z125" i="20"/>
  <c r="AA125" i="20" s="1"/>
  <c r="AB125" i="20" s="1"/>
  <c r="Z124" i="20"/>
  <c r="AA124" i="20" s="1"/>
  <c r="AB124" i="20" s="1"/>
  <c r="Z123" i="20"/>
  <c r="AA123" i="20" s="1"/>
  <c r="AB123" i="20" s="1"/>
  <c r="Z122" i="20"/>
  <c r="AA122" i="20" s="1"/>
  <c r="AB122" i="20" s="1"/>
  <c r="Z121" i="20"/>
  <c r="AA121" i="20" s="1"/>
  <c r="AB121" i="20" s="1"/>
  <c r="Z120" i="20"/>
  <c r="AA120" i="20" s="1"/>
  <c r="AB120" i="20" s="1"/>
  <c r="Z119" i="20"/>
  <c r="AA119" i="20" s="1"/>
  <c r="AB119" i="20" s="1"/>
  <c r="Z118" i="20"/>
  <c r="AA118" i="20" s="1"/>
  <c r="AB118" i="20" s="1"/>
  <c r="Z117" i="20"/>
  <c r="AA117" i="20" s="1"/>
  <c r="AB117" i="20" s="1"/>
  <c r="Z116" i="20"/>
  <c r="AA116" i="20" s="1"/>
  <c r="AB116" i="20" s="1"/>
  <c r="Z115" i="20"/>
  <c r="AA115" i="20" s="1"/>
  <c r="AB115" i="20" s="1"/>
  <c r="Z114" i="20"/>
  <c r="AA114" i="20" s="1"/>
  <c r="AB114" i="20" s="1"/>
  <c r="Z113" i="20"/>
  <c r="AA113" i="20" s="1"/>
  <c r="AB113" i="20" s="1"/>
  <c r="Z112" i="20"/>
  <c r="AA112" i="20" s="1"/>
  <c r="AB112" i="20" s="1"/>
  <c r="Z111" i="20"/>
  <c r="AA111" i="20" s="1"/>
  <c r="AB111" i="20" s="1"/>
  <c r="Z110" i="20"/>
  <c r="AA110" i="20" s="1"/>
  <c r="AB110" i="20" s="1"/>
  <c r="Z109" i="20"/>
  <c r="AA109" i="20" s="1"/>
  <c r="AB109" i="20" s="1"/>
  <c r="Z108" i="20"/>
  <c r="AA108" i="20" s="1"/>
  <c r="AB108" i="20" s="1"/>
  <c r="Z107" i="20"/>
  <c r="AA107" i="20" s="1"/>
  <c r="AB107" i="20" s="1"/>
  <c r="Z106" i="20"/>
  <c r="AA106" i="20" s="1"/>
  <c r="AB106" i="20" s="1"/>
  <c r="Z105" i="20"/>
  <c r="AA105" i="20" s="1"/>
  <c r="AB105" i="20" s="1"/>
  <c r="Z104" i="20"/>
  <c r="AA104" i="20" s="1"/>
  <c r="AB104" i="20" s="1"/>
  <c r="Z103" i="20"/>
  <c r="AA103" i="20" s="1"/>
  <c r="AB103" i="20" s="1"/>
  <c r="Z102" i="20"/>
  <c r="AA102" i="20" s="1"/>
  <c r="AB102" i="20" s="1"/>
  <c r="Z101" i="20"/>
  <c r="AA101" i="20" s="1"/>
  <c r="AB101" i="20" s="1"/>
  <c r="Z100" i="20"/>
  <c r="AA100" i="20" s="1"/>
  <c r="AB100" i="20" s="1"/>
  <c r="Z99" i="20"/>
  <c r="AA99" i="20" s="1"/>
  <c r="AB99" i="20" s="1"/>
  <c r="Z98" i="20"/>
  <c r="AA98" i="20" s="1"/>
  <c r="AB98" i="20" s="1"/>
  <c r="Z97" i="20"/>
  <c r="AA97" i="20" s="1"/>
  <c r="AB97" i="20" s="1"/>
  <c r="Z96" i="20"/>
  <c r="AA96" i="20" s="1"/>
  <c r="AB96" i="20" s="1"/>
  <c r="Z95" i="20"/>
  <c r="AA95" i="20" s="1"/>
  <c r="AB95" i="20" s="1"/>
  <c r="Z94" i="20"/>
  <c r="AA94" i="20" s="1"/>
  <c r="AB94" i="20" s="1"/>
  <c r="Z93" i="20"/>
  <c r="AA93" i="20" s="1"/>
  <c r="AB93" i="20" s="1"/>
  <c r="Z92" i="20"/>
  <c r="AA92" i="20" s="1"/>
  <c r="AB92" i="20" s="1"/>
  <c r="Z91" i="20"/>
  <c r="AA91" i="20" s="1"/>
  <c r="AB91" i="20" s="1"/>
  <c r="Z90" i="20"/>
  <c r="AA90" i="20" s="1"/>
  <c r="AB90" i="20" s="1"/>
  <c r="Z89" i="20"/>
  <c r="AA89" i="20" s="1"/>
  <c r="AB89" i="20" s="1"/>
  <c r="Z88" i="20"/>
  <c r="AA88" i="20" s="1"/>
  <c r="AB88" i="20" s="1"/>
  <c r="Z87" i="20"/>
  <c r="AA87" i="20" s="1"/>
  <c r="AB87" i="20" s="1"/>
  <c r="Z86" i="20"/>
  <c r="AA86" i="20" s="1"/>
  <c r="AB86" i="20" s="1"/>
  <c r="Z85" i="20"/>
  <c r="AA85" i="20" s="1"/>
  <c r="AB85" i="20" s="1"/>
  <c r="Z84" i="20"/>
  <c r="AA84" i="20" s="1"/>
  <c r="AB84" i="20" s="1"/>
  <c r="Z83" i="20"/>
  <c r="AA83" i="20" s="1"/>
  <c r="AB83" i="20" s="1"/>
  <c r="Z82" i="20"/>
  <c r="AA82" i="20" s="1"/>
  <c r="AB82" i="20" s="1"/>
  <c r="Z81" i="20"/>
  <c r="AA81" i="20" s="1"/>
  <c r="AB81" i="20" s="1"/>
  <c r="Z80" i="20"/>
  <c r="AA80" i="20" s="1"/>
  <c r="AB80" i="20" s="1"/>
  <c r="Z79" i="20"/>
  <c r="AA79" i="20" s="1"/>
  <c r="AB79" i="20" s="1"/>
  <c r="Z78" i="20"/>
  <c r="AA78" i="20" s="1"/>
  <c r="AB78" i="20" s="1"/>
  <c r="Z77" i="20"/>
  <c r="AA77" i="20" s="1"/>
  <c r="AB77" i="20" s="1"/>
  <c r="Z76" i="20"/>
  <c r="AA76" i="20" s="1"/>
  <c r="AB76" i="20" s="1"/>
  <c r="Z75" i="20"/>
  <c r="AA75" i="20" s="1"/>
  <c r="AB75" i="20" s="1"/>
  <c r="Z74" i="20"/>
  <c r="AA74" i="20" s="1"/>
  <c r="AB74" i="20" s="1"/>
  <c r="Z73" i="20"/>
  <c r="AA73" i="20" s="1"/>
  <c r="AB73" i="20" s="1"/>
  <c r="Z72" i="20"/>
  <c r="AA72" i="20" s="1"/>
  <c r="AB72" i="20" s="1"/>
  <c r="Z71" i="20"/>
  <c r="AA71" i="20" s="1"/>
  <c r="AB71" i="20" s="1"/>
  <c r="Z70" i="20"/>
  <c r="AA70" i="20" s="1"/>
  <c r="AB70" i="20" s="1"/>
  <c r="Z69" i="20"/>
  <c r="AA69" i="20" s="1"/>
  <c r="AB69" i="20" s="1"/>
  <c r="Z68" i="20"/>
  <c r="AA68" i="20" s="1"/>
  <c r="AB68" i="20" s="1"/>
  <c r="Z67" i="20"/>
  <c r="AA67" i="20" s="1"/>
  <c r="AB67" i="20" s="1"/>
  <c r="Z66" i="20"/>
  <c r="AA66" i="20" s="1"/>
  <c r="AB66" i="20" s="1"/>
  <c r="Z65" i="20"/>
  <c r="AA65" i="20" s="1"/>
  <c r="AB65" i="20" s="1"/>
  <c r="Z64" i="20"/>
  <c r="AA64" i="20" s="1"/>
  <c r="AB64" i="20" s="1"/>
  <c r="Z63" i="20"/>
  <c r="AA63" i="20" s="1"/>
  <c r="AB63" i="20" s="1"/>
  <c r="Z62" i="20"/>
  <c r="AA62" i="20" s="1"/>
  <c r="AB62" i="20" s="1"/>
  <c r="Z61" i="20"/>
  <c r="AA61" i="20" s="1"/>
  <c r="AB61" i="20" s="1"/>
  <c r="Z60" i="20"/>
  <c r="AA60" i="20" s="1"/>
  <c r="AB60" i="20" s="1"/>
  <c r="Z59" i="20"/>
  <c r="AA59" i="20" s="1"/>
  <c r="AB59" i="20" s="1"/>
  <c r="Z58" i="20"/>
  <c r="AA58" i="20" s="1"/>
  <c r="AB58" i="20" s="1"/>
  <c r="Z57" i="20"/>
  <c r="AA57" i="20" s="1"/>
  <c r="AB57" i="20" s="1"/>
  <c r="Z56" i="20"/>
  <c r="AA56" i="20" s="1"/>
  <c r="AB56" i="20" s="1"/>
  <c r="Z55" i="20"/>
  <c r="AA55" i="20" s="1"/>
  <c r="AB55" i="20" s="1"/>
  <c r="Z54" i="20"/>
  <c r="AA54" i="20" s="1"/>
  <c r="AB54" i="20" s="1"/>
  <c r="Z53" i="20"/>
  <c r="AA53" i="20" s="1"/>
  <c r="AB53" i="20" s="1"/>
  <c r="Z52" i="20"/>
  <c r="AA52" i="20" s="1"/>
  <c r="AB52" i="20" s="1"/>
  <c r="Z51" i="20"/>
  <c r="AA51" i="20" s="1"/>
  <c r="AB51" i="20" s="1"/>
  <c r="Z50" i="20"/>
  <c r="AA50" i="20" s="1"/>
  <c r="AB50" i="20" s="1"/>
  <c r="Z49" i="20"/>
  <c r="AA49" i="20" s="1"/>
  <c r="AB49" i="20" s="1"/>
  <c r="Z48" i="20"/>
  <c r="AA48" i="20" s="1"/>
  <c r="AB48" i="20" s="1"/>
  <c r="Z47" i="20"/>
  <c r="AA47" i="20" s="1"/>
  <c r="AB47" i="20" s="1"/>
  <c r="Z46" i="20"/>
  <c r="AA46" i="20" s="1"/>
  <c r="AB46" i="20" s="1"/>
  <c r="Z45" i="20"/>
  <c r="AA45" i="20" s="1"/>
  <c r="AB45" i="20" s="1"/>
  <c r="Z44" i="20"/>
  <c r="AA44" i="20" s="1"/>
  <c r="AB44" i="20" s="1"/>
  <c r="Z43" i="20"/>
  <c r="AA43" i="20" s="1"/>
  <c r="AB43" i="20" s="1"/>
  <c r="Z42" i="20"/>
  <c r="AA42" i="20" s="1"/>
  <c r="AB42" i="20" s="1"/>
  <c r="Z41" i="20"/>
  <c r="AA41" i="20" s="1"/>
  <c r="AB41" i="20" s="1"/>
  <c r="Z40" i="20"/>
  <c r="AA40" i="20" s="1"/>
  <c r="AB40" i="20" s="1"/>
  <c r="Z39" i="20"/>
  <c r="AA39" i="20" s="1"/>
  <c r="AB39" i="20" s="1"/>
  <c r="Z38" i="20"/>
  <c r="AA38" i="20" s="1"/>
  <c r="AB38" i="20" s="1"/>
  <c r="Z37" i="20"/>
  <c r="AA37" i="20" s="1"/>
  <c r="AB37" i="20" s="1"/>
  <c r="Z36" i="20"/>
  <c r="AA36" i="20" s="1"/>
  <c r="AB36" i="20" s="1"/>
  <c r="Z35" i="20"/>
  <c r="AA35" i="20" s="1"/>
  <c r="AB35" i="20" s="1"/>
  <c r="Z34" i="20"/>
  <c r="AA34" i="20" s="1"/>
  <c r="AB34" i="20" s="1"/>
  <c r="Z33" i="20"/>
  <c r="AA33" i="20" s="1"/>
  <c r="AB33" i="20" s="1"/>
  <c r="Z32" i="20"/>
  <c r="AA32" i="20" s="1"/>
  <c r="AB32" i="20" s="1"/>
  <c r="Z31" i="20"/>
  <c r="AA31" i="20" s="1"/>
  <c r="AB31" i="20" s="1"/>
  <c r="Z30" i="20"/>
  <c r="AA30" i="20" s="1"/>
  <c r="AB30" i="20" s="1"/>
  <c r="Z29" i="20"/>
  <c r="AA29" i="20" s="1"/>
  <c r="AB29" i="20" s="1"/>
  <c r="Z28" i="20"/>
  <c r="AA28" i="20" s="1"/>
  <c r="AB28" i="20" s="1"/>
  <c r="Z27" i="20"/>
  <c r="AA27" i="20" s="1"/>
  <c r="AB27" i="20" s="1"/>
  <c r="Z26" i="20"/>
  <c r="AA26" i="20" s="1"/>
  <c r="AB26" i="20" s="1"/>
  <c r="Z25" i="20"/>
  <c r="AA25" i="20" s="1"/>
  <c r="AB25" i="20" s="1"/>
  <c r="Z24" i="20"/>
  <c r="AA24" i="20" s="1"/>
  <c r="AB24" i="20" s="1"/>
  <c r="Z23" i="20"/>
  <c r="AA23" i="20" s="1"/>
  <c r="AB23" i="20" s="1"/>
  <c r="Z22" i="20"/>
  <c r="AA22" i="20" s="1"/>
  <c r="AB22" i="20" s="1"/>
  <c r="Z21" i="20"/>
  <c r="AA21" i="20" s="1"/>
  <c r="AB21" i="20" s="1"/>
  <c r="Z20" i="20"/>
  <c r="AA20" i="20" s="1"/>
  <c r="AB20" i="20" s="1"/>
  <c r="Z19" i="20"/>
  <c r="AA19" i="20" s="1"/>
  <c r="AB19" i="20" s="1"/>
  <c r="Z18" i="20"/>
  <c r="AA18" i="20" s="1"/>
  <c r="AB18" i="20" s="1"/>
  <c r="Z17" i="20"/>
  <c r="AA17" i="20" s="1"/>
  <c r="AB17" i="20" s="1"/>
  <c r="Z16" i="20"/>
  <c r="AA16" i="20" s="1"/>
  <c r="AB16" i="20" s="1"/>
  <c r="Z15" i="20"/>
  <c r="AA15" i="20" s="1"/>
  <c r="AB15" i="20" s="1"/>
  <c r="Z14" i="20"/>
  <c r="AA14" i="20" s="1"/>
  <c r="AB14" i="20" s="1"/>
  <c r="Z13" i="20"/>
  <c r="AA13" i="20" s="1"/>
  <c r="AB13" i="20" s="1"/>
  <c r="Z12" i="20"/>
  <c r="AA12" i="20" s="1"/>
  <c r="AB12" i="20" s="1"/>
  <c r="Z11" i="20"/>
  <c r="AA11" i="20" s="1"/>
  <c r="AB11" i="20" s="1"/>
  <c r="Z10" i="20"/>
  <c r="AA10" i="20" s="1"/>
  <c r="AB10" i="20" s="1"/>
  <c r="Z9" i="20"/>
  <c r="AA9" i="20" s="1"/>
  <c r="AB9" i="20" s="1"/>
  <c r="Z8" i="20"/>
  <c r="AA8" i="20" s="1"/>
  <c r="AB8" i="20" s="1"/>
  <c r="Z7" i="20"/>
  <c r="AA7" i="20" s="1"/>
  <c r="AB7" i="20" s="1"/>
  <c r="Z6" i="20"/>
  <c r="AA6" i="20" s="1"/>
  <c r="AB6" i="20" s="1"/>
  <c r="Z5" i="20"/>
  <c r="AA5" i="20" s="1"/>
  <c r="AB5" i="20" s="1"/>
  <c r="Z4" i="20"/>
  <c r="AA4" i="20" s="1"/>
  <c r="AB4" i="20" s="1"/>
  <c r="Z3" i="20"/>
  <c r="AA3" i="20" s="1"/>
  <c r="AB3" i="20" s="1"/>
  <c r="Z2" i="20"/>
  <c r="AA2" i="20" s="1"/>
  <c r="AB2" i="20" s="1"/>
  <c r="AI13" i="22" l="1"/>
  <c r="AD12" i="22"/>
  <c r="C3" i="16"/>
  <c r="C4" i="16"/>
  <c r="C5" i="16"/>
  <c r="C6" i="16"/>
  <c r="C7" i="16"/>
  <c r="C8" i="16"/>
  <c r="C9" i="16"/>
  <c r="C10" i="16"/>
  <c r="C11" i="16"/>
  <c r="C12" i="16"/>
  <c r="C13" i="16"/>
  <c r="C14" i="16"/>
  <c r="C15" i="16"/>
  <c r="C16" i="16"/>
  <c r="C17" i="16"/>
  <c r="C18" i="16"/>
  <c r="C19" i="16"/>
  <c r="C20" i="16"/>
  <c r="C21" i="16"/>
  <c r="C22" i="16"/>
  <c r="C23" i="16"/>
  <c r="C24" i="16"/>
  <c r="C25" i="16"/>
  <c r="C26" i="16"/>
  <c r="C27" i="16"/>
  <c r="C28" i="16"/>
  <c r="C29" i="16"/>
  <c r="C30" i="16"/>
  <c r="C31" i="16"/>
  <c r="C32" i="16"/>
  <c r="C33" i="16"/>
  <c r="C2" i="16"/>
  <c r="H2" i="10"/>
  <c r="H39" i="18"/>
  <c r="H40" i="18"/>
  <c r="C3" i="17"/>
  <c r="C4" i="17" s="1"/>
  <c r="C5" i="17" s="1"/>
  <c r="C6" i="17" s="1"/>
  <c r="C7" i="17" s="1"/>
  <c r="C8" i="17" s="1"/>
  <c r="C9" i="17" s="1"/>
  <c r="C10" i="17" s="1"/>
  <c r="C11" i="17" s="1"/>
  <c r="C12" i="17" s="1"/>
  <c r="C13" i="17" s="1"/>
  <c r="C14" i="17" s="1"/>
  <c r="C15" i="17" s="1"/>
  <c r="C16" i="17" s="1"/>
  <c r="C17" i="17" s="1"/>
  <c r="C18" i="17" s="1"/>
  <c r="C19" i="17" s="1"/>
  <c r="C20" i="17" s="1"/>
  <c r="C21" i="17" s="1"/>
  <c r="C22" i="17" s="1"/>
  <c r="C23" i="17" s="1"/>
  <c r="C24" i="17" s="1"/>
  <c r="C25" i="17" s="1"/>
  <c r="C26" i="17" s="1"/>
  <c r="C27" i="17" s="1"/>
  <c r="C28" i="17" s="1"/>
  <c r="C29" i="17" s="1"/>
  <c r="C30" i="17" s="1"/>
  <c r="C31" i="17" s="1"/>
  <c r="C32" i="17" s="1"/>
  <c r="C33" i="17" s="1"/>
  <c r="C34" i="17" s="1"/>
  <c r="C35" i="17" s="1"/>
  <c r="C36" i="17" s="1"/>
  <c r="C37" i="17" s="1"/>
  <c r="C38" i="17" s="1"/>
  <c r="B32" i="16"/>
  <c r="B33" i="16"/>
  <c r="K3" i="16"/>
  <c r="K4" i="16" s="1"/>
  <c r="K5" i="16" s="1"/>
  <c r="K6" i="16" s="1"/>
  <c r="K7" i="16" s="1"/>
  <c r="K8" i="16" s="1"/>
  <c r="K9" i="16" s="1"/>
  <c r="K10" i="16" s="1"/>
  <c r="K11" i="16" s="1"/>
  <c r="K12" i="16" s="1"/>
  <c r="K13" i="16" s="1"/>
  <c r="K14" i="16" s="1"/>
  <c r="K15" i="16" s="1"/>
  <c r="K16" i="16" s="1"/>
  <c r="K17" i="16" s="1"/>
  <c r="K18" i="16" s="1"/>
  <c r="K19" i="16" s="1"/>
  <c r="K20" i="16" s="1"/>
  <c r="K21" i="16" s="1"/>
  <c r="K22" i="16" s="1"/>
  <c r="K23" i="16" s="1"/>
  <c r="K24" i="16" s="1"/>
  <c r="K25" i="16" s="1"/>
  <c r="K26" i="16" s="1"/>
  <c r="K27" i="16" s="1"/>
  <c r="K28" i="16" s="1"/>
  <c r="K29" i="16" s="1"/>
  <c r="K30" i="16" s="1"/>
  <c r="K31" i="16" s="1"/>
  <c r="K32" i="16" s="1"/>
  <c r="K33" i="16" s="1"/>
  <c r="I3" i="16"/>
  <c r="I4" i="16" s="1"/>
  <c r="I5" i="16" s="1"/>
  <c r="I6" i="16" s="1"/>
  <c r="I7" i="16" s="1"/>
  <c r="I8" i="16" s="1"/>
  <c r="I9" i="16" s="1"/>
  <c r="I10" i="16" s="1"/>
  <c r="I11" i="16" s="1"/>
  <c r="I12" i="16" s="1"/>
  <c r="I13" i="16" s="1"/>
  <c r="I14" i="16" s="1"/>
  <c r="I15" i="16" s="1"/>
  <c r="I16" i="16" s="1"/>
  <c r="I17" i="16" s="1"/>
  <c r="I18" i="16" s="1"/>
  <c r="I19" i="16" s="1"/>
  <c r="I20" i="16" s="1"/>
  <c r="I21" i="16" s="1"/>
  <c r="I22" i="16" s="1"/>
  <c r="I23" i="16" s="1"/>
  <c r="I24" i="16" s="1"/>
  <c r="I25" i="16" s="1"/>
  <c r="I26" i="16" s="1"/>
  <c r="I27" i="16" s="1"/>
  <c r="I28" i="16" s="1"/>
  <c r="I29" i="16" s="1"/>
  <c r="I30" i="16" s="1"/>
  <c r="I31" i="16" s="1"/>
  <c r="I32" i="16" s="1"/>
  <c r="I33" i="16" s="1"/>
  <c r="D3" i="16"/>
  <c r="D4" i="16" s="1"/>
  <c r="D5" i="16" s="1"/>
  <c r="D6" i="16" s="1"/>
  <c r="D7" i="16" s="1"/>
  <c r="D8" i="16" s="1"/>
  <c r="D9" i="16" s="1"/>
  <c r="D10" i="16" s="1"/>
  <c r="D11" i="16" s="1"/>
  <c r="D12" i="16" s="1"/>
  <c r="D13" i="16" s="1"/>
  <c r="D14" i="16" s="1"/>
  <c r="D15" i="16" s="1"/>
  <c r="D16" i="16" s="1"/>
  <c r="D17" i="16" s="1"/>
  <c r="D18" i="16" s="1"/>
  <c r="D19" i="16" s="1"/>
  <c r="D20" i="16" s="1"/>
  <c r="D21" i="16" s="1"/>
  <c r="D22" i="16" s="1"/>
  <c r="D23" i="16" s="1"/>
  <c r="D24" i="16" s="1"/>
  <c r="D25" i="16" s="1"/>
  <c r="D26" i="16" s="1"/>
  <c r="D27" i="16" s="1"/>
  <c r="D28" i="16" s="1"/>
  <c r="D29" i="16" s="1"/>
  <c r="D30" i="16" s="1"/>
  <c r="D31" i="16" s="1"/>
  <c r="D32" i="16" s="1"/>
  <c r="D33" i="16" s="1"/>
  <c r="B3" i="16"/>
  <c r="B4" i="16"/>
  <c r="B5" i="16"/>
  <c r="B6" i="16"/>
  <c r="B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2" i="1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" i="6"/>
  <c r="C5" i="15"/>
  <c r="J3" i="15"/>
  <c r="J4" i="15" s="1"/>
  <c r="J5" i="15" s="1"/>
  <c r="C3" i="15"/>
  <c r="C4" i="15"/>
  <c r="C2" i="15"/>
  <c r="C2" i="14"/>
  <c r="F123" i="12"/>
  <c r="F122" i="12"/>
  <c r="F121" i="12"/>
  <c r="F120" i="12"/>
  <c r="F119" i="12"/>
  <c r="F118" i="12"/>
  <c r="F117" i="12"/>
  <c r="F116" i="12"/>
  <c r="F115" i="12"/>
  <c r="F114" i="12"/>
  <c r="F113" i="12"/>
  <c r="F112" i="12"/>
  <c r="F111" i="12"/>
  <c r="F110" i="12"/>
  <c r="F109" i="12"/>
  <c r="F108" i="12"/>
  <c r="F107" i="12"/>
  <c r="F106" i="12"/>
  <c r="F105" i="12"/>
  <c r="F104" i="12"/>
  <c r="F103" i="12"/>
  <c r="F102" i="12"/>
  <c r="F101" i="12"/>
  <c r="F100" i="12"/>
  <c r="F99" i="12"/>
  <c r="F98" i="12"/>
  <c r="F97" i="12"/>
  <c r="F96" i="12"/>
  <c r="F95" i="12"/>
  <c r="F94" i="12"/>
  <c r="F93" i="12"/>
  <c r="F92" i="12"/>
  <c r="F91" i="12"/>
  <c r="F90" i="12"/>
  <c r="F89" i="12"/>
  <c r="F88" i="12"/>
  <c r="F87" i="12"/>
  <c r="F86" i="12"/>
  <c r="F85" i="12"/>
  <c r="F84" i="12"/>
  <c r="F83" i="12"/>
  <c r="F82" i="12"/>
  <c r="F81" i="12"/>
  <c r="F80" i="12"/>
  <c r="F79" i="12"/>
  <c r="F78" i="12"/>
  <c r="F77" i="12"/>
  <c r="F76" i="12"/>
  <c r="F75" i="12"/>
  <c r="F74" i="12"/>
  <c r="F73" i="12"/>
  <c r="F72" i="12"/>
  <c r="F71" i="12"/>
  <c r="F70" i="12"/>
  <c r="F69" i="12"/>
  <c r="F68" i="12"/>
  <c r="F67" i="12"/>
  <c r="F66" i="12"/>
  <c r="F65" i="12"/>
  <c r="F64" i="12"/>
  <c r="F63" i="12"/>
  <c r="F62" i="12"/>
  <c r="F61" i="12"/>
  <c r="F60" i="12"/>
  <c r="F59" i="12"/>
  <c r="F58" i="12"/>
  <c r="F57" i="12"/>
  <c r="F56" i="12"/>
  <c r="F55" i="12"/>
  <c r="F54" i="12"/>
  <c r="F53" i="12"/>
  <c r="F52" i="12"/>
  <c r="F51" i="12"/>
  <c r="F50" i="12"/>
  <c r="F49" i="12"/>
  <c r="F48" i="12"/>
  <c r="F47" i="12"/>
  <c r="F46" i="12"/>
  <c r="F45" i="12"/>
  <c r="F44" i="12"/>
  <c r="F43" i="12"/>
  <c r="F42" i="12"/>
  <c r="F41" i="12"/>
  <c r="F40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F24" i="12"/>
  <c r="F23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F8" i="12"/>
  <c r="F7" i="12"/>
  <c r="F6" i="12"/>
  <c r="F5" i="12"/>
  <c r="F4" i="12"/>
  <c r="F3" i="12"/>
  <c r="F2" i="12" s="1"/>
  <c r="J2" i="12"/>
  <c r="D2" i="12"/>
  <c r="C2" i="12"/>
  <c r="A2" i="15" a="1"/>
  <c r="A3" i="15" a="1"/>
  <c r="A5" i="15" a="1"/>
  <c r="A4" i="15" a="1"/>
  <c r="A2" i="14" a="1"/>
  <c r="AI14" i="22" l="1"/>
  <c r="AD13" i="22"/>
  <c r="E2" i="12"/>
  <c r="A5" i="15"/>
  <c r="B6" i="17" s="1"/>
  <c r="A4" i="15"/>
  <c r="B5" i="17" s="1"/>
  <c r="A3" i="15"/>
  <c r="B4" i="17" s="1"/>
  <c r="A2" i="15"/>
  <c r="B3" i="17" s="1"/>
  <c r="A2" i="14"/>
  <c r="B2" i="17" s="1"/>
  <c r="AI15" i="22" l="1"/>
  <c r="AD14" i="22"/>
  <c r="C2" i="6"/>
  <c r="A2" i="6"/>
  <c r="AD15" i="22" l="1"/>
  <c r="AI16" i="22"/>
  <c r="B2" i="8"/>
  <c r="C3" i="6"/>
  <c r="I3" i="6"/>
  <c r="M3" i="6"/>
  <c r="A3" i="6" a="1"/>
  <c r="AI17" i="22" l="1"/>
  <c r="AD16" i="22"/>
  <c r="A3" i="6"/>
  <c r="B3" i="8" s="1"/>
  <c r="C4" i="6"/>
  <c r="I4" i="6"/>
  <c r="M4" i="6"/>
  <c r="A4" i="6" a="1"/>
  <c r="AD17" i="22" l="1"/>
  <c r="AI18" i="22"/>
  <c r="A4" i="6"/>
  <c r="B4" i="8" s="1"/>
  <c r="D80" i="10"/>
  <c r="E80" i="10"/>
  <c r="D81" i="10"/>
  <c r="E81" i="10"/>
  <c r="D82" i="10"/>
  <c r="E82" i="10"/>
  <c r="D83" i="10"/>
  <c r="E83" i="10"/>
  <c r="D84" i="10"/>
  <c r="E84" i="10"/>
  <c r="D41" i="10"/>
  <c r="E41" i="10"/>
  <c r="D42" i="10"/>
  <c r="E42" i="10"/>
  <c r="D43" i="10"/>
  <c r="E43" i="10"/>
  <c r="D44" i="10"/>
  <c r="E44" i="10"/>
  <c r="D45" i="10"/>
  <c r="E45" i="10"/>
  <c r="D46" i="10"/>
  <c r="E46" i="10"/>
  <c r="D47" i="10"/>
  <c r="E47" i="10"/>
  <c r="D48" i="10"/>
  <c r="E48" i="10"/>
  <c r="D49" i="10"/>
  <c r="E49" i="10"/>
  <c r="D50" i="10"/>
  <c r="E50" i="10"/>
  <c r="D51" i="10"/>
  <c r="E51" i="10"/>
  <c r="D52" i="10"/>
  <c r="E52" i="10"/>
  <c r="D53" i="10"/>
  <c r="E53" i="10"/>
  <c r="D54" i="10"/>
  <c r="E54" i="10"/>
  <c r="D55" i="10"/>
  <c r="E55" i="10"/>
  <c r="D56" i="10"/>
  <c r="E56" i="10"/>
  <c r="D57" i="10"/>
  <c r="E57" i="10"/>
  <c r="D58" i="10"/>
  <c r="E58" i="10"/>
  <c r="D59" i="10"/>
  <c r="E59" i="10"/>
  <c r="D60" i="10"/>
  <c r="E60" i="10"/>
  <c r="D61" i="10"/>
  <c r="E61" i="10"/>
  <c r="D62" i="10"/>
  <c r="E62" i="10"/>
  <c r="D63" i="10"/>
  <c r="E63" i="10"/>
  <c r="D64" i="10"/>
  <c r="E64" i="10"/>
  <c r="D65" i="10"/>
  <c r="E65" i="10"/>
  <c r="D66" i="10"/>
  <c r="E66" i="10"/>
  <c r="D67" i="10"/>
  <c r="E67" i="10"/>
  <c r="D68" i="10"/>
  <c r="E68" i="10"/>
  <c r="D69" i="10"/>
  <c r="E69" i="10"/>
  <c r="D70" i="10"/>
  <c r="E70" i="10"/>
  <c r="D71" i="10"/>
  <c r="E71" i="10"/>
  <c r="D72" i="10"/>
  <c r="E72" i="10"/>
  <c r="D73" i="10"/>
  <c r="E73" i="10"/>
  <c r="D74" i="10"/>
  <c r="E74" i="10"/>
  <c r="D75" i="10"/>
  <c r="E75" i="10"/>
  <c r="D76" i="10"/>
  <c r="E76" i="10"/>
  <c r="D77" i="10"/>
  <c r="E77" i="10"/>
  <c r="D78" i="10"/>
  <c r="E78" i="10"/>
  <c r="D79" i="10"/>
  <c r="E79" i="10"/>
  <c r="D4" i="10"/>
  <c r="E4" i="10"/>
  <c r="D5" i="10"/>
  <c r="E5" i="10"/>
  <c r="D6" i="10"/>
  <c r="E6" i="10"/>
  <c r="D7" i="10"/>
  <c r="E7" i="10"/>
  <c r="D8" i="10"/>
  <c r="E8" i="10"/>
  <c r="D9" i="10"/>
  <c r="E9" i="10"/>
  <c r="D10" i="10"/>
  <c r="E10" i="10"/>
  <c r="D11" i="10"/>
  <c r="E11" i="10"/>
  <c r="D12" i="10"/>
  <c r="E12" i="10"/>
  <c r="D13" i="10"/>
  <c r="E13" i="10"/>
  <c r="D14" i="10"/>
  <c r="E14" i="10"/>
  <c r="D15" i="10"/>
  <c r="E15" i="10"/>
  <c r="D16" i="10"/>
  <c r="E16" i="10"/>
  <c r="D17" i="10"/>
  <c r="E17" i="10"/>
  <c r="D18" i="10"/>
  <c r="E18" i="10"/>
  <c r="D19" i="10"/>
  <c r="E19" i="10"/>
  <c r="D20" i="10"/>
  <c r="E20" i="10"/>
  <c r="D21" i="10"/>
  <c r="E21" i="10"/>
  <c r="D22" i="10"/>
  <c r="E22" i="10"/>
  <c r="D23" i="10"/>
  <c r="E23" i="10"/>
  <c r="D24" i="10"/>
  <c r="E24" i="10"/>
  <c r="D25" i="10"/>
  <c r="E25" i="10"/>
  <c r="D26" i="10"/>
  <c r="E26" i="10"/>
  <c r="D27" i="10"/>
  <c r="E27" i="10"/>
  <c r="D28" i="10"/>
  <c r="E28" i="10"/>
  <c r="D29" i="10"/>
  <c r="E29" i="10"/>
  <c r="D30" i="10"/>
  <c r="E30" i="10"/>
  <c r="D31" i="10"/>
  <c r="E31" i="10"/>
  <c r="D32" i="10"/>
  <c r="E32" i="10"/>
  <c r="D33" i="10"/>
  <c r="E33" i="10"/>
  <c r="D34" i="10"/>
  <c r="E34" i="10"/>
  <c r="D35" i="10"/>
  <c r="E35" i="10"/>
  <c r="D36" i="10"/>
  <c r="E36" i="10"/>
  <c r="D37" i="10"/>
  <c r="E37" i="10"/>
  <c r="D38" i="10"/>
  <c r="E38" i="10"/>
  <c r="D39" i="10"/>
  <c r="E39" i="10"/>
  <c r="D40" i="10"/>
  <c r="E40" i="10"/>
  <c r="E3" i="10"/>
  <c r="D3" i="10"/>
  <c r="AD18" i="22" l="1"/>
  <c r="AI19" i="22"/>
  <c r="C43" i="10"/>
  <c r="C51" i="10"/>
  <c r="C59" i="10"/>
  <c r="C67" i="10"/>
  <c r="C75" i="10"/>
  <c r="C83" i="10"/>
  <c r="C44" i="10"/>
  <c r="C52" i="10"/>
  <c r="C60" i="10"/>
  <c r="C68" i="10"/>
  <c r="C76" i="10"/>
  <c r="C84" i="10"/>
  <c r="C45" i="10"/>
  <c r="C53" i="10"/>
  <c r="C61" i="10"/>
  <c r="C77" i="10"/>
  <c r="C46" i="10"/>
  <c r="C62" i="10"/>
  <c r="C78" i="10"/>
  <c r="C47" i="10"/>
  <c r="C63" i="10"/>
  <c r="C79" i="10"/>
  <c r="C56" i="10"/>
  <c r="C72" i="10"/>
  <c r="C58" i="10"/>
  <c r="C74" i="10"/>
  <c r="C69" i="10"/>
  <c r="C54" i="10"/>
  <c r="C70" i="10"/>
  <c r="C55" i="10"/>
  <c r="C71" i="10"/>
  <c r="C48" i="10"/>
  <c r="C64" i="10"/>
  <c r="C80" i="10"/>
  <c r="C41" i="10"/>
  <c r="C49" i="10"/>
  <c r="C57" i="10"/>
  <c r="C65" i="10"/>
  <c r="C73" i="10"/>
  <c r="C81" i="10"/>
  <c r="C42" i="10"/>
  <c r="C50" i="10"/>
  <c r="C66" i="10"/>
  <c r="C82" i="10"/>
  <c r="C3" i="8"/>
  <c r="C4" i="8" s="1"/>
  <c r="C5" i="8" s="1"/>
  <c r="C6" i="8" s="1"/>
  <c r="C7" i="8" s="1"/>
  <c r="C8" i="8" s="1"/>
  <c r="C9" i="8" s="1"/>
  <c r="C10" i="8" s="1"/>
  <c r="C11" i="8" s="1"/>
  <c r="C12" i="8" s="1"/>
  <c r="C13" i="8" s="1"/>
  <c r="C14" i="8" s="1"/>
  <c r="C15" i="8" s="1"/>
  <c r="C16" i="8" s="1"/>
  <c r="C17" i="8" s="1"/>
  <c r="C18" i="8" s="1"/>
  <c r="C19" i="8" s="1"/>
  <c r="C20" i="8" s="1"/>
  <c r="C21" i="8" s="1"/>
  <c r="C22" i="8" s="1"/>
  <c r="C23" i="8" s="1"/>
  <c r="C24" i="8" s="1"/>
  <c r="C25" i="8" s="1"/>
  <c r="C26" i="8" s="1"/>
  <c r="C27" i="8" s="1"/>
  <c r="C28" i="8" s="1"/>
  <c r="C29" i="8" s="1"/>
  <c r="C30" i="8" s="1"/>
  <c r="C31" i="8" s="1"/>
  <c r="C32" i="8" s="1"/>
  <c r="C33" i="8" s="1"/>
  <c r="C34" i="8" s="1"/>
  <c r="C35" i="8" s="1"/>
  <c r="C36" i="8" s="1"/>
  <c r="C37" i="8" s="1"/>
  <c r="C38" i="8" s="1"/>
  <c r="C39" i="8" s="1"/>
  <c r="C40" i="8" s="1"/>
  <c r="E3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" i="7"/>
  <c r="C3" i="7"/>
  <c r="C4" i="7" s="1"/>
  <c r="C5" i="7" s="1"/>
  <c r="C6" i="7" s="1"/>
  <c r="C7" i="7" s="1"/>
  <c r="C8" i="7" s="1"/>
  <c r="C9" i="7" s="1"/>
  <c r="C10" i="7" s="1"/>
  <c r="C11" i="7" s="1"/>
  <c r="C12" i="7" s="1"/>
  <c r="C13" i="7" s="1"/>
  <c r="C14" i="7" s="1"/>
  <c r="C15" i="7" s="1"/>
  <c r="C16" i="7" s="1"/>
  <c r="C17" i="7" s="1"/>
  <c r="C18" i="7" s="1"/>
  <c r="C19" i="7" s="1"/>
  <c r="C20" i="7" s="1"/>
  <c r="C21" i="7" s="1"/>
  <c r="C22" i="7" s="1"/>
  <c r="B3" i="7"/>
  <c r="B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" i="7"/>
  <c r="I5" i="6"/>
  <c r="I6" i="6" s="1"/>
  <c r="I7" i="6" s="1"/>
  <c r="I8" i="6" s="1"/>
  <c r="I9" i="6" s="1"/>
  <c r="I10" i="6" s="1"/>
  <c r="I11" i="6" s="1"/>
  <c r="I12" i="6" s="1"/>
  <c r="I13" i="6" s="1"/>
  <c r="I14" i="6" s="1"/>
  <c r="I15" i="6" s="1"/>
  <c r="I16" i="6" s="1"/>
  <c r="I17" i="6" s="1"/>
  <c r="I18" i="6" s="1"/>
  <c r="I19" i="6" s="1"/>
  <c r="E5" i="6"/>
  <c r="E6" i="6" s="1"/>
  <c r="E7" i="6" s="1"/>
  <c r="E8" i="6" s="1"/>
  <c r="E9" i="6" s="1"/>
  <c r="E10" i="6" s="1"/>
  <c r="E11" i="6" s="1"/>
  <c r="E12" i="6" s="1"/>
  <c r="E13" i="6" s="1"/>
  <c r="E14" i="6" s="1"/>
  <c r="E15" i="6" s="1"/>
  <c r="E16" i="6" s="1"/>
  <c r="E17" i="6" s="1"/>
  <c r="E18" i="6" s="1"/>
  <c r="E19" i="6" s="1"/>
  <c r="C19" i="6"/>
  <c r="M5" i="6"/>
  <c r="M6" i="6" s="1"/>
  <c r="M7" i="6" s="1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A18" i="6" a="1"/>
  <c r="A14" i="6" a="1"/>
  <c r="A13" i="6" a="1"/>
  <c r="A16" i="6" a="1"/>
  <c r="A15" i="6" a="1"/>
  <c r="A7" i="6" a="1"/>
  <c r="A6" i="6" a="1"/>
  <c r="A9" i="6" a="1"/>
  <c r="A19" i="6" a="1"/>
  <c r="A12" i="6" a="1"/>
  <c r="A11" i="6" a="1"/>
  <c r="A8" i="6" a="1"/>
  <c r="A5" i="6" a="1"/>
  <c r="A17" i="6" a="1"/>
  <c r="A10" i="6" a="1"/>
  <c r="AI20" i="22" l="1"/>
  <c r="AD19" i="22"/>
  <c r="A19" i="6"/>
  <c r="B19" i="8" s="1"/>
  <c r="A15" i="6"/>
  <c r="B15" i="8" s="1"/>
  <c r="A13" i="6"/>
  <c r="B13" i="8" s="1"/>
  <c r="A11" i="6"/>
  <c r="B11" i="8" s="1"/>
  <c r="A9" i="6"/>
  <c r="B9" i="8" s="1"/>
  <c r="A7" i="6"/>
  <c r="B7" i="8" s="1"/>
  <c r="A5" i="6"/>
  <c r="B5" i="8" s="1"/>
  <c r="A18" i="6"/>
  <c r="B18" i="8" s="1"/>
  <c r="A16" i="6"/>
  <c r="B16" i="8" s="1"/>
  <c r="A14" i="6"/>
  <c r="B14" i="8" s="1"/>
  <c r="A12" i="6"/>
  <c r="B12" i="8" s="1"/>
  <c r="A10" i="6"/>
  <c r="B10" i="8" s="1"/>
  <c r="A8" i="6"/>
  <c r="B8" i="8" s="1"/>
  <c r="A6" i="6"/>
  <c r="B6" i="8" s="1"/>
  <c r="A17" i="6"/>
  <c r="B17" i="8" s="1"/>
  <c r="A1" i="4"/>
  <c r="A2" i="4"/>
  <c r="B2" i="5" a="1"/>
  <c r="E3" i="29" l="1"/>
  <c r="E3" i="30"/>
  <c r="E13" i="22"/>
  <c r="E17" i="22"/>
  <c r="E10" i="22"/>
  <c r="E12" i="22"/>
  <c r="E16" i="22"/>
  <c r="E21" i="22"/>
  <c r="E11" i="22"/>
  <c r="E20" i="22"/>
  <c r="E24" i="22"/>
  <c r="E14" i="22"/>
  <c r="E15" i="22"/>
  <c r="E19" i="22"/>
  <c r="E23" i="22"/>
  <c r="E18" i="22"/>
  <c r="E22" i="22"/>
  <c r="AI21" i="22"/>
  <c r="AD20" i="22"/>
  <c r="E5" i="22"/>
  <c r="E9" i="22"/>
  <c r="E2" i="22"/>
  <c r="E6" i="22"/>
  <c r="E3" i="22"/>
  <c r="E7" i="22"/>
  <c r="E4" i="22"/>
  <c r="E8" i="22"/>
  <c r="B2" i="5"/>
  <c r="C5" i="22"/>
  <c r="C16" i="22"/>
  <c r="C19" i="22"/>
  <c r="C4" i="22"/>
  <c r="C18" i="22"/>
  <c r="C24" i="22"/>
  <c r="C21" i="22"/>
  <c r="C10" i="22"/>
  <c r="C6" i="22"/>
  <c r="C11" i="22"/>
  <c r="C17" i="22"/>
  <c r="C3" i="30"/>
  <c r="C20" i="22"/>
  <c r="C13" i="22"/>
  <c r="C22" i="22"/>
  <c r="C3" i="29"/>
  <c r="C8" i="22"/>
  <c r="C23" i="22"/>
  <c r="C2" i="5"/>
  <c r="C9" i="22"/>
  <c r="C14" i="22"/>
  <c r="C7" i="22"/>
  <c r="C3" i="22"/>
  <c r="A2" i="3"/>
  <c r="C15" i="22"/>
  <c r="C12" i="22"/>
  <c r="X3" i="29" l="1"/>
  <c r="Y3" i="30"/>
  <c r="Y20" i="22"/>
  <c r="T20" i="22"/>
  <c r="Y22" i="22"/>
  <c r="T22" i="22"/>
  <c r="Y11" i="22"/>
  <c r="T11" i="22"/>
  <c r="Y18" i="22"/>
  <c r="T18" i="22"/>
  <c r="Y21" i="22"/>
  <c r="T21" i="22"/>
  <c r="Y23" i="22"/>
  <c r="T23" i="22"/>
  <c r="Y16" i="22"/>
  <c r="T16" i="22"/>
  <c r="Y19" i="22"/>
  <c r="T19" i="22"/>
  <c r="Y12" i="22"/>
  <c r="T12" i="22"/>
  <c r="Y15" i="22"/>
  <c r="T15" i="22"/>
  <c r="Y10" i="22"/>
  <c r="T10" i="22"/>
  <c r="Y14" i="22"/>
  <c r="T14" i="22"/>
  <c r="Y17" i="22"/>
  <c r="T17" i="22"/>
  <c r="Y24" i="22"/>
  <c r="T24" i="22"/>
  <c r="Y13" i="22"/>
  <c r="T13" i="22"/>
  <c r="AI22" i="22"/>
  <c r="AD21" i="22"/>
  <c r="T3" i="22"/>
  <c r="Y3" i="22"/>
  <c r="T8" i="22"/>
  <c r="Y8" i="22"/>
  <c r="Y6" i="22"/>
  <c r="T6" i="22"/>
  <c r="Y4" i="22"/>
  <c r="T4" i="22"/>
  <c r="T9" i="22"/>
  <c r="Y9" i="22"/>
  <c r="Y7" i="22"/>
  <c r="T7" i="22"/>
  <c r="T5" i="22"/>
  <c r="Y5" i="22"/>
  <c r="G2" i="22"/>
  <c r="F4" i="7"/>
  <c r="F8" i="7"/>
  <c r="F12" i="7"/>
  <c r="F16" i="7"/>
  <c r="F20" i="7"/>
  <c r="F5" i="7"/>
  <c r="F9" i="7"/>
  <c r="F13" i="7"/>
  <c r="F17" i="7"/>
  <c r="F21" i="7"/>
  <c r="F6" i="7"/>
  <c r="F10" i="7"/>
  <c r="F14" i="7"/>
  <c r="F18" i="7"/>
  <c r="F22" i="7"/>
  <c r="F3" i="7"/>
  <c r="F7" i="7"/>
  <c r="F11" i="7"/>
  <c r="F15" i="7"/>
  <c r="F19" i="7"/>
  <c r="F2" i="7"/>
  <c r="A21" i="7" a="1"/>
  <c r="C2" i="22"/>
  <c r="A5" i="7" a="1"/>
  <c r="A12" i="7" a="1"/>
  <c r="S5" i="22"/>
  <c r="S16" i="22"/>
  <c r="S17" i="22"/>
  <c r="A16" i="7" a="1"/>
  <c r="A7" i="7" a="1"/>
  <c r="A14" i="7" a="1"/>
  <c r="A17" i="7" a="1"/>
  <c r="S3" i="22"/>
  <c r="A4" i="7" a="1"/>
  <c r="A13" i="7" a="1"/>
  <c r="S19" i="22"/>
  <c r="S18" i="22"/>
  <c r="A11" i="7" a="1"/>
  <c r="A2" i="7" a="1"/>
  <c r="R3" i="29"/>
  <c r="AU3" i="29" s="1"/>
  <c r="S8" i="22"/>
  <c r="A10" i="7" a="1"/>
  <c r="A19" i="7" a="1"/>
  <c r="S20" i="22"/>
  <c r="S9" i="22"/>
  <c r="A20" i="7" a="1"/>
  <c r="AW3" i="29"/>
  <c r="S14" i="22"/>
  <c r="A3" i="7" a="1"/>
  <c r="S6" i="22"/>
  <c r="A9" i="7" a="1"/>
  <c r="S10" i="22"/>
  <c r="AZ3" i="29"/>
  <c r="S11" i="22"/>
  <c r="AX3" i="29"/>
  <c r="A6" i="7" a="1"/>
  <c r="B10" i="22"/>
  <c r="S15" i="22"/>
  <c r="A22" i="7" a="1"/>
  <c r="S13" i="22"/>
  <c r="A18" i="7" a="1"/>
  <c r="S4" i="22"/>
  <c r="S12" i="22"/>
  <c r="S7" i="22"/>
  <c r="AV3" i="29"/>
  <c r="S21" i="22"/>
  <c r="AY3" i="29"/>
  <c r="A8" i="7" a="1"/>
  <c r="A15" i="7" a="1"/>
  <c r="AO3" i="29" l="1"/>
  <c r="AM14" i="22"/>
  <c r="AM19" i="22"/>
  <c r="AM18" i="22"/>
  <c r="AM11" i="22"/>
  <c r="AM13" i="22"/>
  <c r="AM10" i="22"/>
  <c r="AM17" i="22"/>
  <c r="AM12" i="22"/>
  <c r="AM21" i="22"/>
  <c r="AM20" i="22"/>
  <c r="AM16" i="22"/>
  <c r="AM15" i="22"/>
  <c r="AI23" i="22"/>
  <c r="AD22" i="22"/>
  <c r="AM6" i="22"/>
  <c r="AM5" i="22"/>
  <c r="AM9" i="22"/>
  <c r="AM7" i="22"/>
  <c r="AM4" i="22"/>
  <c r="T2" i="22"/>
  <c r="Y2" i="22"/>
  <c r="AM8" i="22"/>
  <c r="AM3" i="22"/>
  <c r="A5" i="7"/>
  <c r="B23" i="8" s="1"/>
  <c r="A19" i="7"/>
  <c r="B37" i="8" s="1"/>
  <c r="A3" i="7"/>
  <c r="B21" i="8" s="1"/>
  <c r="A10" i="7"/>
  <c r="B28" i="8" s="1"/>
  <c r="A13" i="7"/>
  <c r="B31" i="8" s="1"/>
  <c r="A16" i="7"/>
  <c r="B34" i="8" s="1"/>
  <c r="A15" i="7"/>
  <c r="B33" i="8" s="1"/>
  <c r="A22" i="7"/>
  <c r="B40" i="8" s="1"/>
  <c r="A6" i="7"/>
  <c r="B24" i="8" s="1"/>
  <c r="A9" i="7"/>
  <c r="B27" i="8" s="1"/>
  <c r="A12" i="7"/>
  <c r="B30" i="8" s="1"/>
  <c r="A11" i="7"/>
  <c r="B29" i="8" s="1"/>
  <c r="A18" i="7"/>
  <c r="B36" i="8" s="1"/>
  <c r="A21" i="7"/>
  <c r="B39" i="8" s="1"/>
  <c r="A8" i="7"/>
  <c r="B26" i="8" s="1"/>
  <c r="A2" i="7"/>
  <c r="B20" i="8" s="1"/>
  <c r="A7" i="7"/>
  <c r="B25" i="8" s="1"/>
  <c r="A14" i="7"/>
  <c r="B32" i="8" s="1"/>
  <c r="A17" i="7"/>
  <c r="B35" i="8" s="1"/>
  <c r="A20" i="7"/>
  <c r="B38" i="8" s="1"/>
  <c r="A4" i="7"/>
  <c r="B22" i="8" s="1"/>
  <c r="AJ11" i="22" a="1"/>
  <c r="AJ10" i="22" a="1"/>
  <c r="AJ6" i="22" a="1"/>
  <c r="AJ21" i="22" a="1"/>
  <c r="AJ3" i="22" a="1"/>
  <c r="AJ14" i="22" a="1"/>
  <c r="AJ8" i="22" a="1"/>
  <c r="S22" i="22"/>
  <c r="AJ18" i="22" a="1"/>
  <c r="AJ15" i="22" a="1"/>
  <c r="AJ5" i="22" a="1"/>
  <c r="AJ4" i="22" a="1"/>
  <c r="AJ19" i="22" a="1"/>
  <c r="AJ20" i="22" a="1"/>
  <c r="S2" i="22"/>
  <c r="AJ13" i="22" a="1"/>
  <c r="AJ16" i="22" a="1"/>
  <c r="AJ9" i="22" a="1"/>
  <c r="AJ7" i="22" a="1"/>
  <c r="AJ17" i="22" a="1"/>
  <c r="AJ12" i="22" a="1"/>
  <c r="AJ17" i="22" l="1"/>
  <c r="F17" i="23" s="1"/>
  <c r="AJ12" i="22"/>
  <c r="F12" i="23" s="1"/>
  <c r="AM22" i="22"/>
  <c r="AJ10" i="22"/>
  <c r="F10" i="23" s="1"/>
  <c r="AJ13" i="22"/>
  <c r="F13" i="23" s="1"/>
  <c r="AJ15" i="22"/>
  <c r="F15" i="23" s="1"/>
  <c r="AJ11" i="22"/>
  <c r="F11" i="23" s="1"/>
  <c r="AJ16" i="22"/>
  <c r="F16" i="23" s="1"/>
  <c r="AJ18" i="22"/>
  <c r="F18" i="23" s="1"/>
  <c r="AJ20" i="22"/>
  <c r="F20" i="23" s="1"/>
  <c r="AJ19" i="22"/>
  <c r="F19" i="23" s="1"/>
  <c r="AJ21" i="22"/>
  <c r="F21" i="23" s="1"/>
  <c r="AJ14" i="22"/>
  <c r="F14" i="23" s="1"/>
  <c r="AI24" i="22"/>
  <c r="AD24" i="22" s="1"/>
  <c r="AD23" i="22"/>
  <c r="AJ3" i="22"/>
  <c r="F3" i="23" s="1"/>
  <c r="AM2" i="22"/>
  <c r="AJ7" i="22"/>
  <c r="F7" i="23" s="1"/>
  <c r="AJ8" i="22"/>
  <c r="F8" i="23" s="1"/>
  <c r="AJ4" i="22"/>
  <c r="F4" i="23" s="1"/>
  <c r="AJ9" i="22"/>
  <c r="F9" i="23" s="1"/>
  <c r="AJ6" i="22"/>
  <c r="F6" i="23" s="1"/>
  <c r="AJ5" i="22"/>
  <c r="F5" i="23" s="1"/>
  <c r="C46" i="11"/>
  <c r="E50" i="11"/>
  <c r="E64" i="11"/>
  <c r="C58" i="11"/>
  <c r="E55" i="11"/>
  <c r="E70" i="11"/>
  <c r="E66" i="11"/>
  <c r="C40" i="11"/>
  <c r="C43" i="11"/>
  <c r="E80" i="11"/>
  <c r="C73" i="11"/>
  <c r="C64" i="11"/>
  <c r="E57" i="11"/>
  <c r="E68" i="11"/>
  <c r="S24" i="22"/>
  <c r="E67" i="11"/>
  <c r="E71" i="11"/>
  <c r="E63" i="11"/>
  <c r="E74" i="11"/>
  <c r="E52" i="11"/>
  <c r="C63" i="11"/>
  <c r="AJ2" i="22" a="1"/>
  <c r="AJ22" i="22" a="1"/>
  <c r="C56" i="11"/>
  <c r="C61" i="11"/>
  <c r="C59" i="11"/>
  <c r="E45" i="11"/>
  <c r="C49" i="11"/>
  <c r="E46" i="11"/>
  <c r="C71" i="11"/>
  <c r="C44" i="11"/>
  <c r="C65" i="11"/>
  <c r="C62" i="11"/>
  <c r="C67" i="11"/>
  <c r="C60" i="11"/>
  <c r="A2" i="8" a="1"/>
  <c r="C80" i="11"/>
  <c r="C74" i="11"/>
  <c r="C76" i="11"/>
  <c r="C75" i="11"/>
  <c r="C48" i="11"/>
  <c r="E75" i="11"/>
  <c r="C51" i="11"/>
  <c r="E40" i="11"/>
  <c r="E47" i="11"/>
  <c r="E72" i="11"/>
  <c r="E81" i="11"/>
  <c r="C78" i="11"/>
  <c r="C69" i="11"/>
  <c r="C54" i="11"/>
  <c r="C66" i="11"/>
  <c r="E48" i="11"/>
  <c r="E54" i="11"/>
  <c r="C81" i="11"/>
  <c r="C53" i="11"/>
  <c r="E69" i="11"/>
  <c r="E58" i="11"/>
  <c r="E43" i="11"/>
  <c r="E78" i="11"/>
  <c r="E56" i="11"/>
  <c r="E42" i="11"/>
  <c r="C72" i="11"/>
  <c r="C52" i="11"/>
  <c r="E44" i="11"/>
  <c r="C45" i="11"/>
  <c r="E49" i="11"/>
  <c r="E53" i="11"/>
  <c r="C50" i="11"/>
  <c r="C55" i="11"/>
  <c r="E62" i="11"/>
  <c r="E51" i="11"/>
  <c r="C77" i="11"/>
  <c r="E76" i="11"/>
  <c r="E79" i="11"/>
  <c r="E65" i="11"/>
  <c r="C41" i="11"/>
  <c r="C79" i="11"/>
  <c r="C68" i="11"/>
  <c r="C70" i="11"/>
  <c r="E77" i="11"/>
  <c r="E59" i="11"/>
  <c r="C57" i="11"/>
  <c r="E41" i="11"/>
  <c r="S23" i="22"/>
  <c r="E73" i="11"/>
  <c r="C47" i="11"/>
  <c r="E61" i="11"/>
  <c r="E60" i="11"/>
  <c r="C42" i="11"/>
  <c r="AM24" i="22" l="1"/>
  <c r="AJ22" i="22"/>
  <c r="F22" i="23" s="1"/>
  <c r="AM23" i="22"/>
  <c r="AJ2" i="22"/>
  <c r="F2" i="23" s="1"/>
  <c r="A29" i="8"/>
  <c r="H29" i="9" s="1"/>
  <c r="A20" i="8"/>
  <c r="H20" i="9" s="1"/>
  <c r="A24" i="8"/>
  <c r="H24" i="9" s="1"/>
  <c r="A3" i="8"/>
  <c r="H3" i="9" s="1"/>
  <c r="A26" i="8"/>
  <c r="H26" i="9" s="1"/>
  <c r="A10" i="8"/>
  <c r="H10" i="9" s="1"/>
  <c r="A15" i="8"/>
  <c r="H15" i="9" s="1"/>
  <c r="A6" i="8"/>
  <c r="H6" i="9" s="1"/>
  <c r="A2" i="8"/>
  <c r="H2" i="9" s="1"/>
  <c r="A14" i="8"/>
  <c r="H14" i="9" s="1"/>
  <c r="A35" i="8"/>
  <c r="H35" i="9" s="1"/>
  <c r="A17" i="8"/>
  <c r="H17" i="9" s="1"/>
  <c r="A31" i="8"/>
  <c r="H31" i="9" s="1"/>
  <c r="A27" i="8"/>
  <c r="H27" i="9" s="1"/>
  <c r="A39" i="8"/>
  <c r="H39" i="9" s="1"/>
  <c r="A21" i="8"/>
  <c r="H21" i="9" s="1"/>
  <c r="A13" i="8"/>
  <c r="H13" i="9" s="1"/>
  <c r="A16" i="8"/>
  <c r="H16" i="9" s="1"/>
  <c r="A18" i="8"/>
  <c r="H18" i="9" s="1"/>
  <c r="A25" i="8"/>
  <c r="H25" i="9" s="1"/>
  <c r="A5" i="8"/>
  <c r="H5" i="9" s="1"/>
  <c r="A12" i="8"/>
  <c r="H12" i="9" s="1"/>
  <c r="A22" i="8"/>
  <c r="H22" i="9" s="1"/>
  <c r="A4" i="8"/>
  <c r="H4" i="9" s="1"/>
  <c r="A34" i="8"/>
  <c r="H34" i="9" s="1"/>
  <c r="A30" i="8"/>
  <c r="H30" i="9" s="1"/>
  <c r="A33" i="8"/>
  <c r="H33" i="9" s="1"/>
  <c r="A8" i="8"/>
  <c r="H8" i="9" s="1"/>
  <c r="A7" i="8"/>
  <c r="H7" i="9" s="1"/>
  <c r="A40" i="8"/>
  <c r="H40" i="9" s="1"/>
  <c r="A23" i="8"/>
  <c r="H23" i="9" s="1"/>
  <c r="A9" i="8"/>
  <c r="H9" i="9" s="1"/>
  <c r="A11" i="8"/>
  <c r="H11" i="9" s="1"/>
  <c r="A28" i="8"/>
  <c r="H28" i="9" s="1"/>
  <c r="A37" i="8"/>
  <c r="H37" i="9" s="1"/>
  <c r="A36" i="8"/>
  <c r="H36" i="9" s="1"/>
  <c r="A19" i="8"/>
  <c r="H19" i="9" s="1"/>
  <c r="A38" i="8"/>
  <c r="H38" i="9" s="1"/>
  <c r="A32" i="8"/>
  <c r="H32" i="9" s="1"/>
  <c r="AJ24" i="22" a="1"/>
  <c r="AJ23" i="22" a="1"/>
  <c r="AJ23" i="22" l="1"/>
  <c r="F23" i="23" s="1"/>
  <c r="AJ24" i="22"/>
  <c r="F24" i="23" s="1"/>
  <c r="D2" i="9" a="1"/>
  <c r="B2" i="23" a="1"/>
  <c r="B2" i="23" l="1"/>
  <c r="BI3" i="30" s="1"/>
  <c r="D2" i="9"/>
  <c r="K3" i="10" a="1"/>
  <c r="L3" i="10" a="1"/>
  <c r="BF3" i="30"/>
  <c r="BB3" i="29"/>
  <c r="B3" i="10" a="1"/>
  <c r="BA3" i="29"/>
  <c r="C2" i="9"/>
  <c r="A3" i="10" a="1"/>
  <c r="AJ3" i="29" l="1"/>
  <c r="B11" i="10"/>
  <c r="B6" i="10"/>
  <c r="B29" i="10"/>
  <c r="B23" i="10"/>
  <c r="B26" i="10"/>
  <c r="B38" i="10"/>
  <c r="B7" i="10"/>
  <c r="B13" i="10"/>
  <c r="B5" i="10"/>
  <c r="B4" i="10"/>
  <c r="B39" i="10"/>
  <c r="B17" i="10"/>
  <c r="B22" i="10"/>
  <c r="B28" i="10"/>
  <c r="B30" i="10"/>
  <c r="B21" i="10"/>
  <c r="B31" i="10"/>
  <c r="B37" i="10"/>
  <c r="B34" i="10"/>
  <c r="B14" i="10"/>
  <c r="B12" i="10"/>
  <c r="B27" i="10"/>
  <c r="B32" i="10"/>
  <c r="B3" i="10"/>
  <c r="B25" i="10"/>
  <c r="B16" i="10"/>
  <c r="B20" i="10"/>
  <c r="B8" i="10"/>
  <c r="B35" i="10"/>
  <c r="B9" i="10"/>
  <c r="B10" i="10"/>
  <c r="B24" i="10"/>
  <c r="B36" i="10"/>
  <c r="B19" i="10"/>
  <c r="B15" i="10"/>
  <c r="B40" i="10"/>
  <c r="B33" i="10"/>
  <c r="B18" i="10"/>
  <c r="A9" i="10"/>
  <c r="A23" i="10"/>
  <c r="A19" i="10"/>
  <c r="A34" i="10"/>
  <c r="A13" i="10"/>
  <c r="A7" i="10"/>
  <c r="A38" i="10"/>
  <c r="A22" i="10"/>
  <c r="A29" i="10"/>
  <c r="A25" i="10"/>
  <c r="A21" i="10"/>
  <c r="A26" i="10"/>
  <c r="A10" i="10"/>
  <c r="A33" i="10"/>
  <c r="A18" i="10"/>
  <c r="A30" i="10"/>
  <c r="A36" i="10"/>
  <c r="A32" i="10"/>
  <c r="A37" i="10"/>
  <c r="A6" i="10"/>
  <c r="A14" i="10"/>
  <c r="A20" i="10"/>
  <c r="A16" i="10"/>
  <c r="A3" i="10"/>
  <c r="A28" i="10"/>
  <c r="A40" i="10"/>
  <c r="A4" i="10"/>
  <c r="A39" i="10"/>
  <c r="A5" i="10"/>
  <c r="A12" i="10"/>
  <c r="A24" i="10"/>
  <c r="A31" i="10"/>
  <c r="A27" i="10"/>
  <c r="A17" i="10"/>
  <c r="A35" i="10"/>
  <c r="A8" i="10"/>
  <c r="A15" i="10"/>
  <c r="A11" i="10"/>
  <c r="K26" i="10"/>
  <c r="K4" i="10"/>
  <c r="K16" i="10"/>
  <c r="K20" i="10"/>
  <c r="K5" i="10"/>
  <c r="K25" i="10"/>
  <c r="K21" i="10"/>
  <c r="K24" i="10"/>
  <c r="K18" i="10"/>
  <c r="K14" i="10"/>
  <c r="K17" i="10"/>
  <c r="K13" i="10"/>
  <c r="K3" i="10"/>
  <c r="K10" i="10"/>
  <c r="K6" i="10"/>
  <c r="K7" i="10"/>
  <c r="K11" i="10"/>
  <c r="K19" i="10"/>
  <c r="K22" i="10"/>
  <c r="K12" i="10"/>
  <c r="K15" i="10"/>
  <c r="K23" i="10"/>
  <c r="K9" i="10"/>
  <c r="K8" i="10"/>
  <c r="L14" i="10"/>
  <c r="L4" i="10"/>
  <c r="L7" i="10"/>
  <c r="L26" i="10"/>
  <c r="L16" i="10"/>
  <c r="L20" i="10"/>
  <c r="L12" i="10"/>
  <c r="L22" i="10"/>
  <c r="L24" i="10"/>
  <c r="L21" i="10"/>
  <c r="L13" i="10"/>
  <c r="L11" i="10"/>
  <c r="L25" i="10"/>
  <c r="L17" i="10"/>
  <c r="L23" i="10"/>
  <c r="L8" i="10"/>
  <c r="L15" i="10"/>
  <c r="L3" i="10"/>
  <c r="L18" i="10"/>
  <c r="L10" i="10"/>
  <c r="L19" i="10"/>
  <c r="L6" i="10"/>
  <c r="L9" i="10"/>
  <c r="L5" i="10"/>
  <c r="M2" i="16"/>
  <c r="BG3" i="30"/>
  <c r="AH3" i="29"/>
  <c r="AP3" i="29" l="1"/>
  <c r="M12" i="10"/>
  <c r="A11" i="28"/>
  <c r="M13" i="10"/>
  <c r="A12" i="28"/>
  <c r="M20" i="10"/>
  <c r="A19" i="28"/>
  <c r="A16" i="11"/>
  <c r="C17" i="10"/>
  <c r="C40" i="10"/>
  <c r="A39" i="11"/>
  <c r="C32" i="10"/>
  <c r="A31" i="11"/>
  <c r="A24" i="11"/>
  <c r="C25" i="10"/>
  <c r="A22" i="11"/>
  <c r="C23" i="10"/>
  <c r="M22" i="10"/>
  <c r="A21" i="28"/>
  <c r="M17" i="10"/>
  <c r="A16" i="28"/>
  <c r="M16" i="10"/>
  <c r="A15" i="28"/>
  <c r="A26" i="11"/>
  <c r="C27" i="10"/>
  <c r="A27" i="11"/>
  <c r="C28" i="10"/>
  <c r="C36" i="10"/>
  <c r="A35" i="11"/>
  <c r="C29" i="10"/>
  <c r="A28" i="11"/>
  <c r="A8" i="11"/>
  <c r="C9" i="10"/>
  <c r="M3" i="16"/>
  <c r="M19" i="10"/>
  <c r="A18" i="28"/>
  <c r="M14" i="10"/>
  <c r="A13" i="28"/>
  <c r="M4" i="10"/>
  <c r="A3" i="28"/>
  <c r="A30" i="11"/>
  <c r="C31" i="10"/>
  <c r="I6" i="28"/>
  <c r="I6" i="24"/>
  <c r="I6" i="11"/>
  <c r="A2" i="11"/>
  <c r="C3" i="10"/>
  <c r="A29" i="11"/>
  <c r="C30" i="10"/>
  <c r="A21" i="11"/>
  <c r="C22" i="10"/>
  <c r="M18" i="10"/>
  <c r="A17" i="28"/>
  <c r="C24" i="10"/>
  <c r="A23" i="11"/>
  <c r="C38" i="10"/>
  <c r="A37" i="11"/>
  <c r="A7" i="28"/>
  <c r="M8" i="10"/>
  <c r="M7" i="10"/>
  <c r="A6" i="28"/>
  <c r="M24" i="10"/>
  <c r="A23" i="28"/>
  <c r="A10" i="11"/>
  <c r="C11" i="10"/>
  <c r="C12" i="10"/>
  <c r="A11" i="11"/>
  <c r="A19" i="11"/>
  <c r="C20" i="10"/>
  <c r="C33" i="10"/>
  <c r="A32" i="11"/>
  <c r="C7" i="10"/>
  <c r="A6" i="11"/>
  <c r="M9" i="10"/>
  <c r="A8" i="28"/>
  <c r="M6" i="10"/>
  <c r="A5" i="28"/>
  <c r="M21" i="10"/>
  <c r="A20" i="28"/>
  <c r="A14" i="11"/>
  <c r="C15" i="10"/>
  <c r="A4" i="11"/>
  <c r="C5" i="10"/>
  <c r="C14" i="10"/>
  <c r="A13" i="11"/>
  <c r="C10" i="10"/>
  <c r="A9" i="11"/>
  <c r="A12" i="11"/>
  <c r="C13" i="10"/>
  <c r="A10" i="28"/>
  <c r="M11" i="10"/>
  <c r="M26" i="10"/>
  <c r="A25" i="28"/>
  <c r="C16" i="10"/>
  <c r="A15" i="11"/>
  <c r="C18" i="10"/>
  <c r="A17" i="11"/>
  <c r="M23" i="10"/>
  <c r="A22" i="28"/>
  <c r="M10" i="10"/>
  <c r="A9" i="28"/>
  <c r="M25" i="10"/>
  <c r="A24" i="28"/>
  <c r="C8" i="10"/>
  <c r="A7" i="11"/>
  <c r="C39" i="10"/>
  <c r="A38" i="11"/>
  <c r="A5" i="11"/>
  <c r="C6" i="10"/>
  <c r="C26" i="10"/>
  <c r="A25" i="11"/>
  <c r="A33" i="11"/>
  <c r="C34" i="10"/>
  <c r="A14" i="28"/>
  <c r="M15" i="10"/>
  <c r="M3" i="10"/>
  <c r="A2" i="28"/>
  <c r="A4" i="28"/>
  <c r="M5" i="10"/>
  <c r="C35" i="10"/>
  <c r="A34" i="11"/>
  <c r="C4" i="10"/>
  <c r="A3" i="11"/>
  <c r="A36" i="11"/>
  <c r="C37" i="10"/>
  <c r="A20" i="11"/>
  <c r="C21" i="10"/>
  <c r="C19" i="10"/>
  <c r="A18" i="11"/>
  <c r="B33" i="11"/>
  <c r="B27" i="11"/>
  <c r="B10" i="28"/>
  <c r="AN3" i="29"/>
  <c r="B30" i="11"/>
  <c r="B15" i="11"/>
  <c r="B6" i="28"/>
  <c r="B19" i="11"/>
  <c r="B4" i="11"/>
  <c r="B36" i="11"/>
  <c r="B7" i="11"/>
  <c r="B32" i="11"/>
  <c r="B15" i="28"/>
  <c r="B17" i="28"/>
  <c r="B37" i="11"/>
  <c r="B39" i="11"/>
  <c r="B29" i="11"/>
  <c r="B14" i="28"/>
  <c r="B11" i="11"/>
  <c r="B24" i="11"/>
  <c r="B3" i="28"/>
  <c r="B10" i="11"/>
  <c r="B9" i="11"/>
  <c r="B17" i="11"/>
  <c r="B24" i="28"/>
  <c r="B20" i="11"/>
  <c r="B34" i="11"/>
  <c r="B23" i="11"/>
  <c r="B14" i="11"/>
  <c r="B5" i="28"/>
  <c r="B20" i="28"/>
  <c r="B4" i="28"/>
  <c r="B22" i="28"/>
  <c r="B12" i="28"/>
  <c r="B6" i="11"/>
  <c r="B11" i="28"/>
  <c r="B25" i="28"/>
  <c r="B3" i="11"/>
  <c r="B22" i="11"/>
  <c r="B9" i="28"/>
  <c r="B28" i="11"/>
  <c r="B23" i="28"/>
  <c r="B2" i="11"/>
  <c r="B18" i="11"/>
  <c r="B18" i="28"/>
  <c r="B16" i="28"/>
  <c r="B5" i="11"/>
  <c r="B8" i="11"/>
  <c r="B19" i="28"/>
  <c r="B7" i="28"/>
  <c r="B31" i="11"/>
  <c r="B12" i="11"/>
  <c r="B13" i="28"/>
  <c r="B21" i="11"/>
  <c r="B25" i="11"/>
  <c r="B8" i="28"/>
  <c r="B21" i="28"/>
  <c r="B13" i="11"/>
  <c r="B2" i="28"/>
  <c r="B26" i="11"/>
  <c r="B35" i="11"/>
  <c r="B38" i="11"/>
  <c r="B16" i="11"/>
  <c r="J2" i="28" l="1"/>
  <c r="J2" i="11"/>
  <c r="F40" i="11"/>
  <c r="G40" i="11" s="1"/>
  <c r="F50" i="11"/>
  <c r="G50" i="11" s="1"/>
  <c r="F42" i="11"/>
  <c r="G42" i="11" s="1"/>
  <c r="F71" i="11"/>
  <c r="G71" i="11" s="1"/>
  <c r="F43" i="11"/>
  <c r="G43" i="11" s="1"/>
  <c r="F64" i="11"/>
  <c r="G64" i="11" s="1"/>
  <c r="F19" i="11"/>
  <c r="G19" i="11" s="1"/>
  <c r="F15" i="11"/>
  <c r="G15" i="11" s="1"/>
  <c r="F9" i="11"/>
  <c r="G9" i="11" s="1"/>
  <c r="F31" i="11"/>
  <c r="G31" i="11" s="1"/>
  <c r="F67" i="11"/>
  <c r="G67" i="11" s="1"/>
  <c r="F44" i="11"/>
  <c r="G44" i="11" s="1"/>
  <c r="F17" i="11"/>
  <c r="G17" i="11" s="1"/>
  <c r="F65" i="11"/>
  <c r="G65" i="11" s="1"/>
  <c r="F34" i="11"/>
  <c r="G34" i="11" s="1"/>
  <c r="F70" i="11"/>
  <c r="G70" i="11" s="1"/>
  <c r="F26" i="11"/>
  <c r="G26" i="11" s="1"/>
  <c r="F75" i="11"/>
  <c r="G75" i="11" s="1"/>
  <c r="F63" i="11"/>
  <c r="G63" i="11" s="1"/>
  <c r="F76" i="11"/>
  <c r="G76" i="11" s="1"/>
  <c r="F60" i="11"/>
  <c r="G60" i="11" s="1"/>
  <c r="F66" i="11"/>
  <c r="G66" i="11" s="1"/>
  <c r="F68" i="11"/>
  <c r="G68" i="11" s="1"/>
  <c r="F21" i="11"/>
  <c r="G21" i="11" s="1"/>
  <c r="F14" i="11"/>
  <c r="G14" i="11" s="1"/>
  <c r="F37" i="11"/>
  <c r="G37" i="11" s="1"/>
  <c r="F54" i="11"/>
  <c r="G54" i="11" s="1"/>
  <c r="F7" i="11"/>
  <c r="G7" i="11" s="1"/>
  <c r="F77" i="11"/>
  <c r="G77" i="11" s="1"/>
  <c r="F81" i="11"/>
  <c r="G81" i="11" s="1"/>
  <c r="F59" i="11"/>
  <c r="G59" i="11" s="1"/>
  <c r="F27" i="11"/>
  <c r="G27" i="11" s="1"/>
  <c r="F49" i="11"/>
  <c r="G49" i="11" s="1"/>
  <c r="F24" i="11"/>
  <c r="G24" i="11" s="1"/>
  <c r="F62" i="11"/>
  <c r="G62" i="11" s="1"/>
  <c r="F79" i="11"/>
  <c r="G79" i="11" s="1"/>
  <c r="F73" i="11"/>
  <c r="G73" i="11" s="1"/>
  <c r="F47" i="11"/>
  <c r="G47" i="11" s="1"/>
  <c r="F28" i="11"/>
  <c r="G28" i="11" s="1"/>
  <c r="F39" i="11"/>
  <c r="G39" i="11" s="1"/>
  <c r="F20" i="11"/>
  <c r="G20" i="11" s="1"/>
  <c r="F22" i="11"/>
  <c r="G22" i="11" s="1"/>
  <c r="F72" i="11"/>
  <c r="G72" i="11" s="1"/>
  <c r="F4" i="11"/>
  <c r="G4" i="11" s="1"/>
  <c r="F13" i="11"/>
  <c r="G13" i="11" s="1"/>
  <c r="F57" i="11"/>
  <c r="G57" i="11" s="1"/>
  <c r="F52" i="11"/>
  <c r="G52" i="11" s="1"/>
  <c r="F29" i="11"/>
  <c r="G29" i="11" s="1"/>
  <c r="F36" i="11"/>
  <c r="G36" i="11" s="1"/>
  <c r="F53" i="11"/>
  <c r="G53" i="11" s="1"/>
  <c r="F30" i="11"/>
  <c r="G30" i="11" s="1"/>
  <c r="F41" i="11"/>
  <c r="G41" i="11" s="1"/>
  <c r="F38" i="11"/>
  <c r="G38" i="11" s="1"/>
  <c r="F48" i="11"/>
  <c r="G48" i="11" s="1"/>
  <c r="F69" i="11"/>
  <c r="G69" i="11" s="1"/>
  <c r="F32" i="11"/>
  <c r="G32" i="11" s="1"/>
  <c r="F58" i="11"/>
  <c r="G58" i="11" s="1"/>
  <c r="F35" i="11"/>
  <c r="G35" i="11" s="1"/>
  <c r="F33" i="11"/>
  <c r="G33" i="11" s="1"/>
  <c r="F6" i="11"/>
  <c r="G6" i="11" s="1"/>
  <c r="F23" i="11"/>
  <c r="G23" i="11" s="1"/>
  <c r="F46" i="11"/>
  <c r="G46" i="11" s="1"/>
  <c r="F8" i="11"/>
  <c r="G8" i="11" s="1"/>
  <c r="F78" i="11"/>
  <c r="G78" i="11" s="1"/>
  <c r="F61" i="11"/>
  <c r="G61" i="11" s="1"/>
  <c r="F74" i="11"/>
  <c r="G74" i="11" s="1"/>
  <c r="F51" i="11"/>
  <c r="G51" i="11" s="1"/>
  <c r="F10" i="11"/>
  <c r="G10" i="11" s="1"/>
  <c r="F5" i="11"/>
  <c r="G5" i="11" s="1"/>
  <c r="F11" i="11"/>
  <c r="G11" i="11" s="1"/>
  <c r="F25" i="11"/>
  <c r="G25" i="11" s="1"/>
  <c r="F12" i="11"/>
  <c r="G12" i="11" s="1"/>
  <c r="F16" i="11"/>
  <c r="G16" i="11" s="1"/>
  <c r="F56" i="11"/>
  <c r="G56" i="11" s="1"/>
  <c r="F55" i="11"/>
  <c r="G55" i="11" s="1"/>
  <c r="F3" i="11"/>
  <c r="G3" i="11" s="1"/>
  <c r="F45" i="11"/>
  <c r="G45" i="11" s="1"/>
  <c r="F80" i="11"/>
  <c r="G80" i="11" s="1"/>
  <c r="F18" i="11"/>
  <c r="G18" i="11" s="1"/>
  <c r="F74" i="24"/>
  <c r="G74" i="24" s="1"/>
  <c r="F40" i="24"/>
  <c r="G40" i="24" s="1"/>
  <c r="F80" i="24"/>
  <c r="G80" i="24" s="1"/>
  <c r="F56" i="24"/>
  <c r="G56" i="24" s="1"/>
  <c r="F48" i="24"/>
  <c r="G48" i="24" s="1"/>
  <c r="F72" i="24"/>
  <c r="G72" i="24" s="1"/>
  <c r="F64" i="24"/>
  <c r="G64" i="24" s="1"/>
  <c r="F44" i="24"/>
  <c r="G44" i="24" s="1"/>
  <c r="F66" i="24"/>
  <c r="G66" i="24" s="1"/>
  <c r="F53" i="24"/>
  <c r="G53" i="24" s="1"/>
  <c r="F63" i="24"/>
  <c r="G63" i="24" s="1"/>
  <c r="F62" i="24"/>
  <c r="G62" i="24" s="1"/>
  <c r="F52" i="24"/>
  <c r="G52" i="24" s="1"/>
  <c r="F81" i="24"/>
  <c r="G81" i="24" s="1"/>
  <c r="F49" i="24"/>
  <c r="G49" i="24" s="1"/>
  <c r="F59" i="24"/>
  <c r="G59" i="24" s="1"/>
  <c r="F70" i="24"/>
  <c r="G70" i="24" s="1"/>
  <c r="F60" i="24"/>
  <c r="G60" i="24" s="1"/>
  <c r="F77" i="24"/>
  <c r="G77" i="24" s="1"/>
  <c r="F45" i="24"/>
  <c r="G45" i="24" s="1"/>
  <c r="F55" i="24"/>
  <c r="G55" i="24" s="1"/>
  <c r="F78" i="24"/>
  <c r="G78" i="24" s="1"/>
  <c r="F68" i="24"/>
  <c r="G68" i="24" s="1"/>
  <c r="F41" i="24"/>
  <c r="G41" i="24" s="1"/>
  <c r="F51" i="24"/>
  <c r="G51" i="24" s="1"/>
  <c r="F76" i="24"/>
  <c r="G76" i="24" s="1"/>
  <c r="F79" i="24"/>
  <c r="G79" i="24" s="1"/>
  <c r="F47" i="24"/>
  <c r="G47" i="24" s="1"/>
  <c r="F42" i="24"/>
  <c r="G42" i="24" s="1"/>
  <c r="F65" i="24"/>
  <c r="G65" i="24" s="1"/>
  <c r="F75" i="24"/>
  <c r="G75" i="24" s="1"/>
  <c r="F50" i="24"/>
  <c r="G50" i="24" s="1"/>
  <c r="F61" i="24"/>
  <c r="G61" i="24" s="1"/>
  <c r="F46" i="24"/>
  <c r="G46" i="24" s="1"/>
  <c r="F58" i="24"/>
  <c r="G58" i="24" s="1"/>
  <c r="F67" i="24"/>
  <c r="G67" i="24" s="1"/>
  <c r="F54" i="24"/>
  <c r="G54" i="24" s="1"/>
  <c r="F73" i="24"/>
  <c r="G73" i="24" s="1"/>
  <c r="F69" i="24"/>
  <c r="G69" i="24" s="1"/>
  <c r="F43" i="24"/>
  <c r="G43" i="24" s="1"/>
  <c r="F71" i="24"/>
  <c r="G71" i="24" s="1"/>
  <c r="F57" i="24"/>
  <c r="G57" i="24" s="1"/>
  <c r="F74" i="28"/>
  <c r="G74" i="28" s="1"/>
  <c r="F40" i="28"/>
  <c r="G40" i="28" s="1"/>
  <c r="F80" i="28"/>
  <c r="G80" i="28" s="1"/>
  <c r="F48" i="28"/>
  <c r="G48" i="28" s="1"/>
  <c r="F44" i="28"/>
  <c r="G44" i="28" s="1"/>
  <c r="F26" i="28"/>
  <c r="G26" i="28" s="1"/>
  <c r="F72" i="28"/>
  <c r="G72" i="28" s="1"/>
  <c r="F64" i="28"/>
  <c r="G64" i="28" s="1"/>
  <c r="F56" i="28"/>
  <c r="G56" i="28" s="1"/>
  <c r="F68" i="28"/>
  <c r="G68" i="28" s="1"/>
  <c r="F66" i="28"/>
  <c r="G66" i="28" s="1"/>
  <c r="F53" i="28"/>
  <c r="G53" i="28" s="1"/>
  <c r="F75" i="28"/>
  <c r="G75" i="28" s="1"/>
  <c r="F43" i="28"/>
  <c r="G43" i="28" s="1"/>
  <c r="F46" i="28"/>
  <c r="G46" i="28" s="1"/>
  <c r="F76" i="28"/>
  <c r="G76" i="28" s="1"/>
  <c r="F81" i="28"/>
  <c r="G81" i="28" s="1"/>
  <c r="F49" i="28"/>
  <c r="G49" i="28" s="1"/>
  <c r="F71" i="28"/>
  <c r="G71" i="28" s="1"/>
  <c r="F39" i="28"/>
  <c r="G39" i="28" s="1"/>
  <c r="F54" i="28"/>
  <c r="G54" i="28" s="1"/>
  <c r="F30" i="28"/>
  <c r="G30" i="28" s="1"/>
  <c r="F77" i="28"/>
  <c r="G77" i="28" s="1"/>
  <c r="F45" i="28"/>
  <c r="G45" i="28" s="1"/>
  <c r="F67" i="28"/>
  <c r="G67" i="28" s="1"/>
  <c r="F35" i="28"/>
  <c r="G35" i="28" s="1"/>
  <c r="F62" i="28"/>
  <c r="G62" i="28" s="1"/>
  <c r="F34" i="28"/>
  <c r="G34" i="28" s="1"/>
  <c r="F73" i="28"/>
  <c r="G73" i="28" s="1"/>
  <c r="F41" i="28"/>
  <c r="G41" i="28" s="1"/>
  <c r="F63" i="28"/>
  <c r="G63" i="28" s="1"/>
  <c r="F31" i="28"/>
  <c r="G31" i="28" s="1"/>
  <c r="F70" i="28"/>
  <c r="G70" i="28" s="1"/>
  <c r="F38" i="28"/>
  <c r="G38" i="28" s="1"/>
  <c r="F69" i="28"/>
  <c r="G69" i="28" s="1"/>
  <c r="F37" i="28"/>
  <c r="G37" i="28" s="1"/>
  <c r="F59" i="28"/>
  <c r="G59" i="28" s="1"/>
  <c r="F27" i="28"/>
  <c r="G27" i="28" s="1"/>
  <c r="F78" i="28"/>
  <c r="G78" i="28" s="1"/>
  <c r="F42" i="28"/>
  <c r="G42" i="28" s="1"/>
  <c r="F65" i="28"/>
  <c r="G65" i="28" s="1"/>
  <c r="F33" i="28"/>
  <c r="G33" i="28" s="1"/>
  <c r="F55" i="28"/>
  <c r="G55" i="28" s="1"/>
  <c r="F28" i="28"/>
  <c r="G28" i="28" s="1"/>
  <c r="F52" i="28"/>
  <c r="G52" i="28" s="1"/>
  <c r="F50" i="28"/>
  <c r="G50" i="28" s="1"/>
  <c r="F61" i="28"/>
  <c r="G61" i="28" s="1"/>
  <c r="F29" i="28"/>
  <c r="G29" i="28" s="1"/>
  <c r="F51" i="28"/>
  <c r="G51" i="28" s="1"/>
  <c r="F32" i="28"/>
  <c r="G32" i="28" s="1"/>
  <c r="F60" i="28"/>
  <c r="G60" i="28" s="1"/>
  <c r="F58" i="28"/>
  <c r="G58" i="28" s="1"/>
  <c r="F57" i="28"/>
  <c r="G57" i="28" s="1"/>
  <c r="F79" i="28"/>
  <c r="G79" i="28" s="1"/>
  <c r="F47" i="28"/>
  <c r="G47" i="28" s="1"/>
  <c r="F36" i="28"/>
  <c r="G36" i="28" s="1"/>
  <c r="F15" i="28"/>
  <c r="G15" i="28" s="1"/>
  <c r="F21" i="28"/>
  <c r="G21" i="28" s="1"/>
  <c r="F17" i="28"/>
  <c r="G17" i="28" s="1"/>
  <c r="F4" i="28"/>
  <c r="G4" i="28" s="1"/>
  <c r="F7" i="28"/>
  <c r="G7" i="28" s="1"/>
  <c r="F11" i="28"/>
  <c r="G11" i="28" s="1"/>
  <c r="F24" i="28"/>
  <c r="G24" i="28" s="1"/>
  <c r="F5" i="28"/>
  <c r="G5" i="28" s="1"/>
  <c r="F14" i="28"/>
  <c r="G14" i="28" s="1"/>
  <c r="F18" i="28"/>
  <c r="G18" i="28" s="1"/>
  <c r="F25" i="28"/>
  <c r="G25" i="28" s="1"/>
  <c r="F12" i="28"/>
  <c r="G12" i="28" s="1"/>
  <c r="F23" i="28"/>
  <c r="G23" i="28" s="1"/>
  <c r="F6" i="28"/>
  <c r="G6" i="28" s="1"/>
  <c r="F8" i="28"/>
  <c r="G8" i="28" s="1"/>
  <c r="F10" i="28"/>
  <c r="G10" i="28" s="1"/>
  <c r="F9" i="28"/>
  <c r="G9" i="28" s="1"/>
  <c r="F13" i="28"/>
  <c r="G13" i="28" s="1"/>
  <c r="F16" i="28"/>
  <c r="G16" i="28" s="1"/>
  <c r="F20" i="28"/>
  <c r="G20" i="28" s="1"/>
  <c r="F22" i="28"/>
  <c r="G22" i="28" s="1"/>
  <c r="F19" i="28"/>
  <c r="G19" i="28" s="1"/>
  <c r="F3" i="28"/>
  <c r="G3" i="28" s="1"/>
  <c r="M4" i="16"/>
  <c r="AR3" i="29"/>
  <c r="C21" i="28"/>
  <c r="C10" i="28"/>
  <c r="C25" i="11"/>
  <c r="C14" i="11"/>
  <c r="C12" i="11"/>
  <c r="C32" i="11"/>
  <c r="C8" i="28"/>
  <c r="C8" i="11"/>
  <c r="C17" i="28"/>
  <c r="C33" i="11"/>
  <c r="C15" i="28"/>
  <c r="C24" i="11"/>
  <c r="C22" i="28"/>
  <c r="C4" i="28"/>
  <c r="C18" i="28"/>
  <c r="C37" i="11"/>
  <c r="C5" i="11"/>
  <c r="C12" i="28"/>
  <c r="C15" i="11"/>
  <c r="C27" i="11"/>
  <c r="C7" i="28"/>
  <c r="C7" i="11"/>
  <c r="C2" i="11"/>
  <c r="C23" i="11"/>
  <c r="C17" i="11"/>
  <c r="C19" i="28"/>
  <c r="C38" i="11"/>
  <c r="C5" i="28"/>
  <c r="C10" i="11"/>
  <c r="C2" i="28"/>
  <c r="C16" i="11"/>
  <c r="C29" i="11"/>
  <c r="C26" i="11"/>
  <c r="C34" i="11"/>
  <c r="C22" i="11"/>
  <c r="C31" i="11"/>
  <c r="C14" i="28"/>
  <c r="C20" i="11"/>
  <c r="C3" i="11"/>
  <c r="C4" i="11"/>
  <c r="C6" i="11"/>
  <c r="C21" i="11"/>
  <c r="C13" i="28"/>
  <c r="C11" i="28"/>
  <c r="C19" i="11"/>
  <c r="C39" i="11"/>
  <c r="C9" i="28"/>
  <c r="C28" i="11"/>
  <c r="C13" i="11"/>
  <c r="C9" i="11"/>
  <c r="C23" i="28"/>
  <c r="C16" i="28"/>
  <c r="C20" i="28"/>
  <c r="C24" i="28"/>
  <c r="C6" i="28"/>
  <c r="C11" i="11"/>
  <c r="C25" i="28"/>
  <c r="C36" i="11"/>
  <c r="C3" i="28"/>
  <c r="C30" i="11"/>
  <c r="C18" i="11"/>
  <c r="C35" i="11"/>
  <c r="K2" i="28" l="1"/>
  <c r="M5" i="16"/>
  <c r="K2" i="11"/>
  <c r="L2" i="28"/>
  <c r="L2" i="11"/>
  <c r="J3" i="28" l="1"/>
  <c r="J3" i="11"/>
  <c r="M6" i="16"/>
  <c r="K3" i="28" l="1"/>
  <c r="M7" i="16"/>
  <c r="K3" i="11"/>
  <c r="L3" i="28"/>
  <c r="L3" i="11"/>
  <c r="J4" i="28" l="1"/>
  <c r="J4" i="11"/>
  <c r="M8" i="16"/>
  <c r="K4" i="28" l="1"/>
  <c r="M9" i="16"/>
  <c r="K4" i="11"/>
  <c r="L4" i="28"/>
  <c r="L4" i="11"/>
  <c r="J5" i="28" l="1"/>
  <c r="J5" i="11"/>
  <c r="M10" i="16"/>
  <c r="K5" i="28" l="1"/>
  <c r="M11" i="16"/>
  <c r="K5" i="11"/>
  <c r="L5" i="28"/>
  <c r="L5" i="11"/>
  <c r="J6" i="28" l="1"/>
  <c r="J6" i="11"/>
  <c r="M12" i="16"/>
  <c r="K6" i="28" l="1"/>
  <c r="M13" i="16"/>
  <c r="K6" i="11"/>
  <c r="L6" i="28"/>
  <c r="L6" i="11"/>
  <c r="J7" i="28" l="1"/>
  <c r="J7" i="11"/>
  <c r="M14" i="16"/>
  <c r="K7" i="28" l="1"/>
  <c r="M15" i="16"/>
  <c r="K7" i="11"/>
  <c r="L7" i="11"/>
  <c r="L7" i="28"/>
  <c r="J8" i="28" l="1"/>
  <c r="J8" i="11"/>
  <c r="M16" i="16"/>
  <c r="K8" i="28" l="1"/>
  <c r="M17" i="16"/>
  <c r="K8" i="11"/>
  <c r="L8" i="11"/>
  <c r="L8" i="28"/>
  <c r="J9" i="28" l="1"/>
  <c r="J9" i="11"/>
  <c r="M18" i="16"/>
  <c r="K9" i="28" l="1"/>
  <c r="M19" i="16"/>
  <c r="K9" i="11"/>
  <c r="L9" i="11"/>
  <c r="L9" i="28"/>
  <c r="J10" i="28" l="1"/>
  <c r="J10" i="11"/>
  <c r="M20" i="16"/>
  <c r="K10" i="28" l="1"/>
  <c r="M21" i="16"/>
  <c r="K10" i="11"/>
  <c r="L10" i="28"/>
  <c r="L10" i="11"/>
  <c r="J11" i="28" l="1"/>
  <c r="M22" i="16"/>
  <c r="J11" i="11"/>
  <c r="K11" i="28" l="1"/>
  <c r="K11" i="11"/>
  <c r="M23" i="16"/>
  <c r="L11" i="28"/>
  <c r="L11" i="11"/>
  <c r="J12" i="28" l="1"/>
  <c r="M24" i="16"/>
  <c r="J12" i="11"/>
  <c r="K12" i="28" l="1"/>
  <c r="K12" i="11"/>
  <c r="M25" i="16"/>
  <c r="L12" i="28"/>
  <c r="L12" i="11"/>
  <c r="J13" i="28" l="1"/>
  <c r="M26" i="16"/>
  <c r="J13" i="11"/>
  <c r="K13" i="28" l="1"/>
  <c r="K13" i="11"/>
  <c r="M27" i="16"/>
  <c r="L13" i="11"/>
  <c r="L13" i="28"/>
  <c r="J14" i="28" l="1"/>
  <c r="M28" i="16"/>
  <c r="J14" i="11"/>
  <c r="K14" i="28" l="1"/>
  <c r="K14" i="11"/>
  <c r="M29" i="16"/>
  <c r="L14" i="28"/>
  <c r="L14" i="11"/>
  <c r="J15" i="28" l="1"/>
  <c r="M30" i="16"/>
  <c r="J15" i="11"/>
  <c r="K15" i="28" l="1"/>
  <c r="K15" i="11"/>
  <c r="M31" i="16"/>
  <c r="L15" i="28"/>
  <c r="L15" i="11"/>
  <c r="J16" i="28" l="1"/>
  <c r="M32" i="16"/>
  <c r="J16" i="11"/>
  <c r="K16" i="28" l="1"/>
  <c r="K16" i="11"/>
  <c r="M33" i="16"/>
  <c r="L16" i="11"/>
  <c r="L16" i="28"/>
  <c r="J17" i="28" l="1"/>
  <c r="J17" i="11"/>
  <c r="K17" i="28" l="1"/>
  <c r="K17" i="11"/>
  <c r="L17" i="28"/>
  <c r="L17" i="11"/>
  <c r="J18" i="28" l="1"/>
  <c r="J18" i="11"/>
  <c r="K18" i="28" l="1"/>
  <c r="K18" i="11"/>
  <c r="L18" i="28"/>
  <c r="L18" i="11"/>
  <c r="J19" i="28" l="1"/>
  <c r="J19" i="11"/>
  <c r="K19" i="28" l="1"/>
  <c r="K19" i="11"/>
  <c r="L19" i="28"/>
  <c r="L19" i="11"/>
  <c r="J20" i="28" l="1"/>
  <c r="J20" i="11"/>
  <c r="K20" i="28" l="1"/>
  <c r="K20" i="11"/>
  <c r="L20" i="11"/>
  <c r="L20" i="28"/>
  <c r="J21" i="28" l="1"/>
  <c r="J21" i="11"/>
  <c r="K21" i="28" l="1"/>
  <c r="K21" i="11"/>
  <c r="L21" i="28"/>
  <c r="L21" i="11"/>
  <c r="J22" i="28" l="1"/>
  <c r="J22" i="11"/>
  <c r="K22" i="28" l="1"/>
  <c r="K22" i="11"/>
  <c r="L22" i="28"/>
  <c r="L22" i="11"/>
  <c r="J23" i="28" l="1"/>
  <c r="J23" i="11"/>
  <c r="K23" i="28" l="1"/>
  <c r="K23" i="11"/>
  <c r="L23" i="11"/>
  <c r="L23" i="28"/>
  <c r="J24" i="28" l="1"/>
  <c r="J24" i="11"/>
  <c r="K24" i="28" l="1"/>
  <c r="K24" i="11"/>
  <c r="L24" i="28"/>
  <c r="L24" i="11"/>
  <c r="J25" i="28" l="1"/>
  <c r="J25" i="11"/>
  <c r="K25" i="28" l="1"/>
  <c r="K25" i="11"/>
  <c r="L25" i="28"/>
  <c r="L25" i="11"/>
  <c r="J26" i="11" l="1"/>
  <c r="K26" i="11" l="1"/>
  <c r="L26" i="11"/>
  <c r="J27" i="11" l="1"/>
  <c r="K27" i="11" l="1"/>
  <c r="L27" i="11"/>
  <c r="J28" i="11" l="1"/>
  <c r="K28" i="11" l="1"/>
  <c r="L28" i="11"/>
  <c r="J29" i="11" l="1"/>
  <c r="K29" i="11" l="1"/>
  <c r="L29" i="11"/>
  <c r="J30" i="11" l="1"/>
  <c r="K30" i="11" l="1"/>
  <c r="L30" i="11"/>
  <c r="J31" i="11" l="1"/>
  <c r="K31" i="11" l="1"/>
  <c r="L31" i="11"/>
  <c r="J32" i="11" l="1"/>
  <c r="K32" i="11" l="1"/>
  <c r="L32" i="11"/>
  <c r="J33" i="11" l="1"/>
  <c r="K33" i="11" l="1"/>
  <c r="L33" i="11"/>
  <c r="J34" i="11" l="1"/>
  <c r="K34" i="11" l="1"/>
  <c r="L34" i="11"/>
  <c r="J35" i="11" l="1"/>
  <c r="K35" i="11" l="1"/>
  <c r="L35" i="11"/>
  <c r="J36" i="11" l="1"/>
  <c r="K36" i="11" l="1"/>
  <c r="L36" i="11"/>
  <c r="J37" i="11" l="1"/>
  <c r="K37" i="11" l="1"/>
  <c r="L37" i="11"/>
  <c r="J38" i="11" l="1"/>
  <c r="K38" i="11" l="1"/>
  <c r="L38" i="11"/>
  <c r="J39" i="11" l="1"/>
  <c r="K39" i="11" l="1"/>
  <c r="L39" i="11"/>
  <c r="J40" i="11" l="1"/>
  <c r="K40" i="11" l="1"/>
  <c r="L40" i="11"/>
  <c r="J41" i="11" l="1"/>
  <c r="K41" i="11" l="1"/>
  <c r="L41" i="11"/>
  <c r="J42" i="11" l="1"/>
  <c r="K42" i="11" l="1"/>
  <c r="L42" i="11"/>
  <c r="J43" i="11" l="1"/>
  <c r="K43" i="11" l="1"/>
  <c r="L43" i="11"/>
  <c r="J44" i="11" l="1"/>
  <c r="K44" i="11" l="1"/>
  <c r="L44" i="11"/>
  <c r="J45" i="11" l="1"/>
  <c r="K45" i="11" l="1"/>
  <c r="L45" i="11"/>
  <c r="J46" i="11" l="1"/>
  <c r="K46" i="11" l="1"/>
  <c r="L46" i="11"/>
  <c r="J47" i="11" l="1"/>
  <c r="K47" i="11" l="1"/>
  <c r="L47" i="11"/>
  <c r="J48" i="11" l="1"/>
  <c r="K48" i="11" l="1"/>
  <c r="L48" i="11"/>
  <c r="J49" i="11" l="1"/>
  <c r="K49" i="11" l="1"/>
  <c r="L49" i="11"/>
  <c r="J50" i="11" l="1"/>
  <c r="K50" i="11" l="1"/>
  <c r="L50" i="11"/>
  <c r="J51" i="11" l="1"/>
  <c r="K51" i="11" l="1"/>
  <c r="L51" i="11"/>
  <c r="J52" i="11" l="1"/>
  <c r="K52" i="11" l="1"/>
  <c r="L52" i="11"/>
  <c r="J53" i="11" l="1"/>
  <c r="K53" i="11" l="1"/>
  <c r="L53" i="11"/>
  <c r="J54" i="11" l="1"/>
  <c r="K54" i="11" l="1"/>
  <c r="L54" i="11"/>
  <c r="J55" i="11" l="1"/>
  <c r="K55" i="11" l="1"/>
  <c r="L55" i="11"/>
  <c r="J56" i="11" l="1"/>
  <c r="K56" i="11" l="1"/>
  <c r="L56" i="11"/>
  <c r="J57" i="11" l="1"/>
  <c r="K57" i="11" l="1"/>
  <c r="L57" i="11"/>
  <c r="J58" i="11" l="1"/>
  <c r="K58" i="11" l="1"/>
  <c r="L58" i="11"/>
  <c r="J59" i="11" l="1"/>
  <c r="K59" i="11" l="1"/>
  <c r="L59" i="11"/>
  <c r="J60" i="11" l="1"/>
  <c r="K60" i="11" l="1"/>
  <c r="L60" i="11"/>
  <c r="J61" i="11" l="1"/>
  <c r="K61" i="11" l="1"/>
  <c r="L61" i="11"/>
  <c r="J62" i="11" l="1"/>
  <c r="K62" i="11" l="1"/>
  <c r="L62" i="11"/>
  <c r="J63" i="11" l="1"/>
  <c r="K63" i="11" l="1"/>
  <c r="L63" i="11"/>
  <c r="J64" i="11" l="1"/>
  <c r="K64" i="11" l="1"/>
  <c r="L64" i="11"/>
  <c r="J65" i="11" l="1"/>
  <c r="K65" i="11" l="1"/>
  <c r="L65" i="11"/>
  <c r="J66" i="11" l="1"/>
  <c r="K66" i="11" l="1"/>
  <c r="L66" i="11"/>
  <c r="J67" i="11" l="1"/>
  <c r="K67" i="11" l="1"/>
  <c r="L67" i="11"/>
  <c r="J68" i="11" l="1"/>
  <c r="K68" i="11" l="1"/>
  <c r="L68" i="11"/>
  <c r="J69" i="11" l="1"/>
  <c r="K69" i="11" l="1"/>
  <c r="L69" i="11"/>
  <c r="J70" i="11" l="1"/>
  <c r="K70" i="11" l="1"/>
  <c r="L70" i="11"/>
  <c r="J71" i="11" l="1"/>
  <c r="K71" i="11" l="1"/>
  <c r="L71" i="11"/>
  <c r="J72" i="11" l="1"/>
  <c r="K72" i="11" l="1"/>
  <c r="L72" i="11"/>
  <c r="J73" i="11" l="1"/>
  <c r="K73" i="11" l="1"/>
  <c r="L73" i="11"/>
  <c r="J74" i="11" l="1"/>
  <c r="K74" i="11" l="1"/>
  <c r="L74" i="11"/>
  <c r="J75" i="11" l="1"/>
  <c r="K75" i="11" l="1"/>
  <c r="L75" i="11"/>
  <c r="J76" i="11" l="1"/>
  <c r="K76" i="11" l="1"/>
  <c r="L76" i="11"/>
  <c r="J77" i="11" l="1"/>
  <c r="K77" i="11" l="1"/>
  <c r="L77" i="11"/>
  <c r="J78" i="11" l="1"/>
  <c r="K78" i="11" l="1"/>
  <c r="L78" i="11"/>
  <c r="J79" i="11" l="1"/>
  <c r="K79" i="11" l="1"/>
  <c r="L79" i="11"/>
  <c r="J80" i="11" l="1"/>
  <c r="K80" i="11" l="1"/>
  <c r="L80" i="11"/>
  <c r="J81" i="11" l="1"/>
  <c r="K81" i="11" l="1"/>
  <c r="L81" i="11"/>
  <c r="D2" i="11" a="1"/>
  <c r="D11" i="11" l="1"/>
  <c r="D2" i="11"/>
  <c r="D20" i="11"/>
  <c r="D12" i="11"/>
  <c r="D29" i="11"/>
  <c r="D7" i="11"/>
  <c r="D38" i="11"/>
  <c r="D27" i="11"/>
  <c r="D22" i="11"/>
  <c r="D36" i="11"/>
  <c r="D14" i="11"/>
  <c r="D31" i="11"/>
  <c r="D9" i="11"/>
  <c r="D26" i="11"/>
  <c r="D24" i="11"/>
  <c r="D16" i="11"/>
  <c r="D28" i="11"/>
  <c r="D23" i="11"/>
  <c r="D13" i="11"/>
  <c r="D25" i="11"/>
  <c r="D4" i="11"/>
  <c r="D35" i="11"/>
  <c r="D19" i="11"/>
  <c r="D6" i="11"/>
  <c r="D18" i="11"/>
  <c r="D30" i="11"/>
  <c r="D3" i="11"/>
  <c r="D37" i="11"/>
  <c r="D15" i="11"/>
  <c r="D32" i="11"/>
  <c r="D21" i="11"/>
  <c r="D10" i="11"/>
  <c r="D5" i="11"/>
  <c r="D8" i="11"/>
  <c r="D39" i="11"/>
  <c r="D17" i="11"/>
  <c r="D34" i="11"/>
  <c r="D33" i="11"/>
  <c r="E36" i="11"/>
  <c r="E3" i="11"/>
  <c r="E22" i="11"/>
  <c r="E15" i="11"/>
  <c r="E19" i="11"/>
  <c r="E20" i="11"/>
  <c r="E7" i="11"/>
  <c r="E31" i="11"/>
  <c r="E34" i="11"/>
  <c r="E28" i="11"/>
  <c r="E39" i="11"/>
  <c r="E17" i="11"/>
  <c r="E37" i="11"/>
  <c r="E25" i="11"/>
  <c r="E12" i="11"/>
  <c r="E32" i="11"/>
  <c r="E29" i="11"/>
  <c r="E5" i="11"/>
  <c r="E8" i="11"/>
  <c r="E14" i="11"/>
  <c r="E21" i="11"/>
  <c r="E23" i="11"/>
  <c r="E9" i="11"/>
  <c r="E33" i="11"/>
  <c r="E2" i="11"/>
  <c r="E16" i="11"/>
  <c r="E6" i="11"/>
  <c r="E24" i="11"/>
  <c r="E30" i="11"/>
  <c r="E35" i="11"/>
  <c r="E4" i="11"/>
  <c r="E18" i="11"/>
  <c r="E10" i="11"/>
  <c r="E27" i="11"/>
  <c r="E38" i="11"/>
  <c r="E11" i="11"/>
  <c r="E26" i="11"/>
  <c r="E13" i="11"/>
  <c r="J2" i="16" l="1"/>
  <c r="A2" i="16"/>
  <c r="C6" i="5"/>
  <c r="B7" i="17" l="1"/>
  <c r="J3" i="16"/>
  <c r="A3" i="16"/>
  <c r="B8" i="17" l="1"/>
  <c r="J4" i="16"/>
  <c r="A4" i="16"/>
  <c r="B9" i="17" l="1"/>
  <c r="J5" i="16"/>
  <c r="A5" i="16"/>
  <c r="B10" i="17" l="1"/>
  <c r="J6" i="16"/>
  <c r="A6" i="16"/>
  <c r="B11" i="17" l="1"/>
  <c r="J7" i="16"/>
  <c r="A7" i="16"/>
  <c r="B12" i="17" l="1"/>
  <c r="J8" i="16"/>
  <c r="A8" i="16"/>
  <c r="B13" i="17" l="1"/>
  <c r="J9" i="16"/>
  <c r="A9" i="16"/>
  <c r="B14" i="17" l="1"/>
  <c r="J10" i="16"/>
  <c r="A10" i="16"/>
  <c r="B15" i="17" l="1"/>
  <c r="J11" i="16"/>
  <c r="A11" i="16"/>
  <c r="B16" i="17" l="1"/>
  <c r="J12" i="16"/>
  <c r="A12" i="16"/>
  <c r="B17" i="17" l="1"/>
  <c r="J13" i="16"/>
  <c r="A13" i="16"/>
  <c r="B18" i="17" l="1"/>
  <c r="J14" i="16"/>
  <c r="A14" i="16"/>
  <c r="B19" i="17" l="1"/>
  <c r="J15" i="16"/>
  <c r="A15" i="16"/>
  <c r="B20" i="17" l="1"/>
  <c r="J16" i="16"/>
  <c r="A16" i="16"/>
  <c r="B21" i="17" l="1"/>
  <c r="J17" i="16"/>
  <c r="A17" i="16"/>
  <c r="B22" i="17" l="1"/>
  <c r="J18" i="16"/>
  <c r="A18" i="16"/>
  <c r="B23" i="17" l="1"/>
  <c r="J19" i="16"/>
  <c r="A19" i="16"/>
  <c r="B24" i="17" l="1"/>
  <c r="J20" i="16"/>
  <c r="A20" i="16"/>
  <c r="B25" i="17" l="1"/>
  <c r="J21" i="16"/>
  <c r="A21" i="16"/>
  <c r="B26" i="17" l="1"/>
  <c r="J22" i="16"/>
  <c r="A22" i="16"/>
  <c r="B27" i="17" l="1"/>
  <c r="J23" i="16"/>
  <c r="A23" i="16"/>
  <c r="B28" i="17" l="1"/>
  <c r="J24" i="16"/>
  <c r="A24" i="16"/>
  <c r="B29" i="17" l="1"/>
  <c r="J25" i="16"/>
  <c r="A25" i="16"/>
  <c r="B30" i="17" l="1"/>
  <c r="J26" i="16"/>
  <c r="A26" i="16"/>
  <c r="B31" i="17" l="1"/>
  <c r="J27" i="16"/>
  <c r="A27" i="16"/>
  <c r="B32" i="17" l="1"/>
  <c r="J28" i="16"/>
  <c r="A28" i="16"/>
  <c r="B33" i="17" l="1"/>
  <c r="J29" i="16"/>
  <c r="A29" i="16"/>
  <c r="B34" i="17" l="1"/>
  <c r="J30" i="16"/>
  <c r="A30" i="16"/>
  <c r="B35" i="17" l="1"/>
  <c r="J31" i="16"/>
  <c r="A31" i="16"/>
  <c r="B36" i="17" l="1"/>
  <c r="J32" i="16"/>
  <c r="A32" i="16"/>
  <c r="B37" i="17" l="1"/>
  <c r="J33" i="16"/>
  <c r="A33" i="16"/>
  <c r="B38" i="17" l="1"/>
  <c r="A2" i="17" a="1"/>
  <c r="A17" i="17" l="1"/>
  <c r="H17" i="18" s="1"/>
  <c r="A19" i="17"/>
  <c r="H19" i="18" s="1"/>
  <c r="A27" i="17"/>
  <c r="H27" i="18" s="1"/>
  <c r="A22" i="17"/>
  <c r="H22" i="18" s="1"/>
  <c r="A33" i="17"/>
  <c r="H33" i="18" s="1"/>
  <c r="A32" i="17"/>
  <c r="H32" i="18" s="1"/>
  <c r="A16" i="17"/>
  <c r="H16" i="18" s="1"/>
  <c r="A10" i="17"/>
  <c r="H10" i="18" s="1"/>
  <c r="A29" i="17"/>
  <c r="H29" i="18" s="1"/>
  <c r="A7" i="17"/>
  <c r="H7" i="18" s="1"/>
  <c r="A25" i="17"/>
  <c r="H25" i="18" s="1"/>
  <c r="A9" i="17"/>
  <c r="H9" i="18" s="1"/>
  <c r="A21" i="17"/>
  <c r="H21" i="18" s="1"/>
  <c r="A36" i="17"/>
  <c r="H36" i="18" s="1"/>
  <c r="A23" i="17"/>
  <c r="H23" i="18" s="1"/>
  <c r="A28" i="17"/>
  <c r="H28" i="18" s="1"/>
  <c r="A8" i="17"/>
  <c r="H8" i="18" s="1"/>
  <c r="A3" i="17"/>
  <c r="H3" i="18" s="1"/>
  <c r="A31" i="17"/>
  <c r="H31" i="18" s="1"/>
  <c r="A6" i="17"/>
  <c r="H6" i="18" s="1"/>
  <c r="A20" i="17"/>
  <c r="H20" i="18" s="1"/>
  <c r="A34" i="17"/>
  <c r="H34" i="18" s="1"/>
  <c r="A11" i="17"/>
  <c r="H11" i="18" s="1"/>
  <c r="A30" i="17"/>
  <c r="H30" i="18" s="1"/>
  <c r="A12" i="17"/>
  <c r="H12" i="18" s="1"/>
  <c r="A24" i="17"/>
  <c r="H24" i="18" s="1"/>
  <c r="A15" i="17"/>
  <c r="H15" i="18" s="1"/>
  <c r="A4" i="17"/>
  <c r="H4" i="18" s="1"/>
  <c r="A37" i="17"/>
  <c r="H37" i="18" s="1"/>
  <c r="A35" i="17"/>
  <c r="H35" i="18" s="1"/>
  <c r="A2" i="17"/>
  <c r="H2" i="18" s="1"/>
  <c r="A5" i="17"/>
  <c r="H5" i="18" s="1"/>
  <c r="A13" i="17"/>
  <c r="H13" i="18" s="1"/>
  <c r="A18" i="17"/>
  <c r="H18" i="18" s="1"/>
  <c r="A26" i="17"/>
  <c r="H26" i="18" s="1"/>
  <c r="A14" i="17"/>
  <c r="H14" i="18" s="1"/>
  <c r="A38" i="17"/>
  <c r="H38" i="18" s="1"/>
  <c r="D2" i="18" a="1"/>
  <c r="D2" i="18" l="1"/>
  <c r="AR3" i="30" s="1"/>
  <c r="F3" i="10" a="1"/>
  <c r="AM3" i="30"/>
  <c r="F14" i="10" l="1"/>
  <c r="F33" i="10"/>
  <c r="H33" i="10" s="1"/>
  <c r="F10" i="10"/>
  <c r="F21" i="10"/>
  <c r="F37" i="10"/>
  <c r="F28" i="10"/>
  <c r="F9" i="10"/>
  <c r="F3" i="10"/>
  <c r="B15" i="5"/>
  <c r="A32" i="24"/>
  <c r="F18" i="10"/>
  <c r="H18" i="10"/>
  <c r="A17" i="24"/>
  <c r="F17" i="24" s="1"/>
  <c r="B17" i="24"/>
  <c r="B12" i="5"/>
  <c r="BU3" i="30" s="1"/>
  <c r="B32" i="24"/>
  <c r="AE3" i="30" l="1"/>
  <c r="A27" i="24"/>
  <c r="H28" i="10"/>
  <c r="A36" i="24"/>
  <c r="H37" i="10"/>
  <c r="A13" i="24"/>
  <c r="H14" i="10"/>
  <c r="H3" i="10"/>
  <c r="A2" i="24"/>
  <c r="J2" i="24" s="1"/>
  <c r="K2" i="24" s="1"/>
  <c r="J3" i="24" s="1"/>
  <c r="K3" i="24" s="1"/>
  <c r="J4" i="24" s="1"/>
  <c r="K4" i="24" s="1"/>
  <c r="J5" i="24" s="1"/>
  <c r="K5" i="24" s="1"/>
  <c r="J6" i="24" s="1"/>
  <c r="K6" i="24" s="1"/>
  <c r="J7" i="24" s="1"/>
  <c r="K7" i="24" s="1"/>
  <c r="J8" i="24" s="1"/>
  <c r="K8" i="24" s="1"/>
  <c r="J9" i="24" s="1"/>
  <c r="K9" i="24" s="1"/>
  <c r="J10" i="24" s="1"/>
  <c r="K10" i="24" s="1"/>
  <c r="J11" i="24" s="1"/>
  <c r="K11" i="24" s="1"/>
  <c r="J12" i="24" s="1"/>
  <c r="K12" i="24" s="1"/>
  <c r="J13" i="24" s="1"/>
  <c r="K13" i="24" s="1"/>
  <c r="J14" i="24" s="1"/>
  <c r="K14" i="24" s="1"/>
  <c r="J15" i="24" s="1"/>
  <c r="K15" i="24" s="1"/>
  <c r="J16" i="24" s="1"/>
  <c r="K16" i="24" s="1"/>
  <c r="J17" i="24" s="1"/>
  <c r="K17" i="24" s="1"/>
  <c r="J18" i="24" s="1"/>
  <c r="K18" i="24" s="1"/>
  <c r="J19" i="24" s="1"/>
  <c r="K19" i="24" s="1"/>
  <c r="J20" i="24" s="1"/>
  <c r="K20" i="24" s="1"/>
  <c r="J21" i="24" s="1"/>
  <c r="K21" i="24" s="1"/>
  <c r="J22" i="24" s="1"/>
  <c r="K22" i="24" s="1"/>
  <c r="J23" i="24" s="1"/>
  <c r="K23" i="24" s="1"/>
  <c r="J24" i="24" s="1"/>
  <c r="K24" i="24" s="1"/>
  <c r="J25" i="24" s="1"/>
  <c r="K25" i="24" s="1"/>
  <c r="J26" i="24" s="1"/>
  <c r="K26" i="24" s="1"/>
  <c r="J27" i="24" s="1"/>
  <c r="K27" i="24" s="1"/>
  <c r="J28" i="24" s="1"/>
  <c r="K28" i="24" s="1"/>
  <c r="J29" i="24" s="1"/>
  <c r="K29" i="24" s="1"/>
  <c r="J30" i="24" s="1"/>
  <c r="K30" i="24" s="1"/>
  <c r="J31" i="24" s="1"/>
  <c r="K31" i="24" s="1"/>
  <c r="J32" i="24" s="1"/>
  <c r="K32" i="24" s="1"/>
  <c r="J33" i="24" s="1"/>
  <c r="K33" i="24" s="1"/>
  <c r="J34" i="24" s="1"/>
  <c r="K34" i="24" s="1"/>
  <c r="J35" i="24" s="1"/>
  <c r="K35" i="24" s="1"/>
  <c r="J36" i="24" s="1"/>
  <c r="K36" i="24" s="1"/>
  <c r="J37" i="24" s="1"/>
  <c r="K37" i="24" s="1"/>
  <c r="J38" i="24" s="1"/>
  <c r="K38" i="24" s="1"/>
  <c r="J39" i="24" s="1"/>
  <c r="K39" i="24" s="1"/>
  <c r="J40" i="24" s="1"/>
  <c r="K40" i="24" s="1"/>
  <c r="J41" i="24" s="1"/>
  <c r="K41" i="24" s="1"/>
  <c r="J42" i="24" s="1"/>
  <c r="K42" i="24" s="1"/>
  <c r="J43" i="24" s="1"/>
  <c r="K43" i="24" s="1"/>
  <c r="J44" i="24" s="1"/>
  <c r="K44" i="24" s="1"/>
  <c r="J45" i="24" s="1"/>
  <c r="K45" i="24" s="1"/>
  <c r="J46" i="24" s="1"/>
  <c r="K46" i="24" s="1"/>
  <c r="J47" i="24" s="1"/>
  <c r="K47" i="24" s="1"/>
  <c r="J48" i="24" s="1"/>
  <c r="K48" i="24" s="1"/>
  <c r="J49" i="24" s="1"/>
  <c r="K49" i="24" s="1"/>
  <c r="J50" i="24" s="1"/>
  <c r="K50" i="24" s="1"/>
  <c r="J51" i="24" s="1"/>
  <c r="K51" i="24" s="1"/>
  <c r="J52" i="24" s="1"/>
  <c r="K52" i="24" s="1"/>
  <c r="J53" i="24" s="1"/>
  <c r="K53" i="24" s="1"/>
  <c r="J54" i="24" s="1"/>
  <c r="K54" i="24" s="1"/>
  <c r="J55" i="24" s="1"/>
  <c r="K55" i="24" s="1"/>
  <c r="J56" i="24" s="1"/>
  <c r="K56" i="24" s="1"/>
  <c r="J57" i="24" s="1"/>
  <c r="K57" i="24" s="1"/>
  <c r="J58" i="24" s="1"/>
  <c r="K58" i="24" s="1"/>
  <c r="J59" i="24" s="1"/>
  <c r="K59" i="24" s="1"/>
  <c r="J60" i="24" s="1"/>
  <c r="K60" i="24" s="1"/>
  <c r="J61" i="24" s="1"/>
  <c r="K61" i="24" s="1"/>
  <c r="J62" i="24" s="1"/>
  <c r="K62" i="24" s="1"/>
  <c r="J63" i="24" s="1"/>
  <c r="K63" i="24" s="1"/>
  <c r="J64" i="24" s="1"/>
  <c r="K64" i="24" s="1"/>
  <c r="J65" i="24" s="1"/>
  <c r="K65" i="24" s="1"/>
  <c r="J66" i="24" s="1"/>
  <c r="K66" i="24" s="1"/>
  <c r="J67" i="24" s="1"/>
  <c r="K67" i="24" s="1"/>
  <c r="J68" i="24" s="1"/>
  <c r="K68" i="24" s="1"/>
  <c r="J69" i="24" s="1"/>
  <c r="K69" i="24" s="1"/>
  <c r="J70" i="24" s="1"/>
  <c r="K70" i="24" s="1"/>
  <c r="J71" i="24" s="1"/>
  <c r="K71" i="24" s="1"/>
  <c r="J72" i="24" s="1"/>
  <c r="K72" i="24" s="1"/>
  <c r="J73" i="24" s="1"/>
  <c r="K73" i="24" s="1"/>
  <c r="J74" i="24" s="1"/>
  <c r="K74" i="24" s="1"/>
  <c r="J75" i="24" s="1"/>
  <c r="K75" i="24" s="1"/>
  <c r="J76" i="24" s="1"/>
  <c r="K76" i="24" s="1"/>
  <c r="J77" i="24" s="1"/>
  <c r="K77" i="24" s="1"/>
  <c r="J78" i="24" s="1"/>
  <c r="K78" i="24" s="1"/>
  <c r="J79" i="24" s="1"/>
  <c r="K79" i="24" s="1"/>
  <c r="J80" i="24" s="1"/>
  <c r="K80" i="24" s="1"/>
  <c r="J81" i="24" s="1"/>
  <c r="K81" i="24" s="1"/>
  <c r="A20" i="24"/>
  <c r="H21" i="10"/>
  <c r="A8" i="24"/>
  <c r="H9" i="10"/>
  <c r="A9" i="24"/>
  <c r="H10" i="10"/>
  <c r="F32" i="24"/>
  <c r="G32" i="24" s="1"/>
  <c r="G17" i="24"/>
  <c r="F34" i="10"/>
  <c r="A33" i="24" s="1"/>
  <c r="F33" i="24" s="1"/>
  <c r="F19" i="10"/>
  <c r="A18" i="24" s="1"/>
  <c r="F18" i="24" s="1"/>
  <c r="H19" i="10"/>
  <c r="F27" i="10"/>
  <c r="H27" i="10" s="1"/>
  <c r="B18" i="24"/>
  <c r="R3" i="30"/>
  <c r="B36" i="24"/>
  <c r="B8" i="24"/>
  <c r="B33" i="24"/>
  <c r="B13" i="24"/>
  <c r="B20" i="24"/>
  <c r="B9" i="24"/>
  <c r="B27" i="24"/>
  <c r="BV3" i="30"/>
  <c r="BW3" i="30"/>
  <c r="BX3" i="30" s="1"/>
  <c r="BX4" i="30"/>
  <c r="G18" i="24" l="1"/>
  <c r="G33" i="24"/>
  <c r="F8" i="24"/>
  <c r="G8" i="24" s="1"/>
  <c r="F36" i="24"/>
  <c r="G36" i="24" s="1"/>
  <c r="H34" i="10"/>
  <c r="F9" i="24"/>
  <c r="G9" i="24" s="1"/>
  <c r="F20" i="24"/>
  <c r="G20" i="24" s="1"/>
  <c r="F13" i="24"/>
  <c r="G13" i="24" s="1"/>
  <c r="F27" i="24"/>
  <c r="G27" i="24" s="1"/>
  <c r="A26" i="24"/>
  <c r="F15" i="10"/>
  <c r="A14" i="24"/>
  <c r="F14" i="24"/>
  <c r="B26" i="24"/>
  <c r="B14" i="24"/>
  <c r="F26" i="24" l="1"/>
  <c r="G26" i="24" s="1"/>
  <c r="G14" i="24"/>
  <c r="H15" i="10"/>
  <c r="F24" i="10"/>
  <c r="A23" i="24" s="1"/>
  <c r="F23" i="24" s="1"/>
  <c r="F29" i="10"/>
  <c r="H29" i="10" s="1"/>
  <c r="F8" i="10"/>
  <c r="H8" i="10" s="1"/>
  <c r="F12" i="10"/>
  <c r="H12" i="10" s="1"/>
  <c r="F23" i="10"/>
  <c r="A22" i="24" s="1"/>
  <c r="F22" i="24" s="1"/>
  <c r="F5" i="10"/>
  <c r="H5" i="10" s="1"/>
  <c r="F25" i="10"/>
  <c r="A24" i="24" s="1"/>
  <c r="F24" i="24" s="1"/>
  <c r="F40" i="10"/>
  <c r="H40" i="10" s="1"/>
  <c r="F22" i="10"/>
  <c r="A21" i="24" s="1"/>
  <c r="F21" i="24" s="1"/>
  <c r="F4" i="10"/>
  <c r="A3" i="24" s="1"/>
  <c r="F3" i="24" s="1"/>
  <c r="F31" i="10"/>
  <c r="A30" i="24" s="1"/>
  <c r="F30" i="24" s="1"/>
  <c r="F6" i="10"/>
  <c r="H6" i="10" s="1"/>
  <c r="F17" i="10"/>
  <c r="A16" i="24" s="1"/>
  <c r="F16" i="24" s="1"/>
  <c r="F20" i="10"/>
  <c r="A19" i="24" s="1"/>
  <c r="F19" i="24" s="1"/>
  <c r="F39" i="10"/>
  <c r="A38" i="24" s="1"/>
  <c r="F38" i="24" s="1"/>
  <c r="F32" i="10"/>
  <c r="A31" i="24" s="1"/>
  <c r="F31" i="24" s="1"/>
  <c r="F35" i="10"/>
  <c r="A34" i="24" s="1"/>
  <c r="F34" i="24" s="1"/>
  <c r="F36" i="10"/>
  <c r="A35" i="24" s="1"/>
  <c r="F35" i="24" s="1"/>
  <c r="F30" i="10"/>
  <c r="A29" i="24" s="1"/>
  <c r="F29" i="24" s="1"/>
  <c r="F26" i="10"/>
  <c r="H26" i="10" s="1"/>
  <c r="F16" i="10"/>
  <c r="H16" i="10" s="1"/>
  <c r="F13" i="10"/>
  <c r="A12" i="24" s="1"/>
  <c r="F12" i="24" s="1"/>
  <c r="F7" i="10"/>
  <c r="A6" i="24" s="1"/>
  <c r="F6" i="24" s="1"/>
  <c r="F38" i="10"/>
  <c r="H38" i="10" s="1"/>
  <c r="B22" i="24"/>
  <c r="B19" i="24"/>
  <c r="B16" i="24"/>
  <c r="B3" i="24"/>
  <c r="B6" i="24"/>
  <c r="B35" i="24"/>
  <c r="B29" i="24"/>
  <c r="B34" i="24"/>
  <c r="B23" i="24"/>
  <c r="B31" i="24"/>
  <c r="B12" i="24"/>
  <c r="B30" i="24"/>
  <c r="B24" i="24"/>
  <c r="B21" i="24"/>
  <c r="B38" i="24"/>
  <c r="A15" i="24" l="1"/>
  <c r="H23" i="10"/>
  <c r="A28" i="24"/>
  <c r="A11" i="24"/>
  <c r="H7" i="10"/>
  <c r="H32" i="10"/>
  <c r="H24" i="10"/>
  <c r="H39" i="10"/>
  <c r="A39" i="24"/>
  <c r="H30" i="10"/>
  <c r="H13" i="10"/>
  <c r="A25" i="24"/>
  <c r="H22" i="10"/>
  <c r="H20" i="10"/>
  <c r="A4" i="24"/>
  <c r="H4" i="10"/>
  <c r="H36" i="10"/>
  <c r="H31" i="10"/>
  <c r="H25" i="10"/>
  <c r="G12" i="24"/>
  <c r="G16" i="24"/>
  <c r="G29" i="24"/>
  <c r="G35" i="24"/>
  <c r="G24" i="24"/>
  <c r="G34" i="24"/>
  <c r="G38" i="24"/>
  <c r="G23" i="24"/>
  <c r="G3" i="24"/>
  <c r="G21" i="24"/>
  <c r="G22" i="24"/>
  <c r="G30" i="24"/>
  <c r="G6" i="24"/>
  <c r="G31" i="24"/>
  <c r="G19" i="24"/>
  <c r="A5" i="24"/>
  <c r="A7" i="24"/>
  <c r="H35" i="10"/>
  <c r="H17" i="10"/>
  <c r="A37" i="24"/>
  <c r="F11" i="10"/>
  <c r="A10" i="24" s="1"/>
  <c r="F10" i="24" s="1"/>
  <c r="B15" i="24"/>
  <c r="B25" i="24"/>
  <c r="B39" i="24"/>
  <c r="B37" i="24"/>
  <c r="B28" i="24"/>
  <c r="B7" i="24"/>
  <c r="B5" i="24"/>
  <c r="B11" i="24"/>
  <c r="B4" i="24"/>
  <c r="B10" i="24"/>
  <c r="F15" i="24" l="1"/>
  <c r="G15" i="24" s="1"/>
  <c r="F28" i="24"/>
  <c r="G28" i="24" s="1"/>
  <c r="F11" i="24"/>
  <c r="G11" i="24" s="1"/>
  <c r="F39" i="24"/>
  <c r="G39" i="24" s="1"/>
  <c r="H11" i="10"/>
  <c r="F25" i="24"/>
  <c r="G25" i="24" s="1"/>
  <c r="F4" i="24"/>
  <c r="G4" i="24" s="1"/>
  <c r="F5" i="24"/>
  <c r="G5" i="24" s="1"/>
  <c r="F7" i="24"/>
  <c r="G7" i="24" s="1"/>
  <c r="F37" i="24"/>
  <c r="G37" i="24" s="1"/>
  <c r="G10" i="24"/>
  <c r="G3" i="10" a="1"/>
  <c r="C20" i="24"/>
  <c r="L62" i="24"/>
  <c r="L65" i="24"/>
  <c r="L32" i="24"/>
  <c r="L63" i="24"/>
  <c r="L59" i="24"/>
  <c r="C10" i="24"/>
  <c r="L55" i="24"/>
  <c r="C6" i="24"/>
  <c r="C34" i="24"/>
  <c r="C25" i="24"/>
  <c r="L41" i="24"/>
  <c r="L43" i="24"/>
  <c r="L60" i="24"/>
  <c r="C15" i="24"/>
  <c r="L58" i="24"/>
  <c r="L45" i="24"/>
  <c r="L70" i="24"/>
  <c r="C2" i="18"/>
  <c r="L78" i="24"/>
  <c r="L24" i="24"/>
  <c r="L10" i="24"/>
  <c r="C11" i="24"/>
  <c r="L23" i="24"/>
  <c r="C19" i="24"/>
  <c r="L3" i="24"/>
  <c r="L34" i="24"/>
  <c r="C35" i="24"/>
  <c r="L79" i="24"/>
  <c r="L47" i="24"/>
  <c r="L44" i="24"/>
  <c r="L46" i="24"/>
  <c r="L36" i="24"/>
  <c r="L67" i="24"/>
  <c r="L16" i="24"/>
  <c r="C27" i="24"/>
  <c r="C36" i="24"/>
  <c r="C18" i="24"/>
  <c r="C22" i="24"/>
  <c r="L48" i="24"/>
  <c r="L5" i="24"/>
  <c r="L30" i="24"/>
  <c r="D2" i="24" a="1"/>
  <c r="L20" i="24"/>
  <c r="C9" i="24"/>
  <c r="L21" i="24"/>
  <c r="L80" i="24"/>
  <c r="L15" i="24"/>
  <c r="L18" i="24"/>
  <c r="L73" i="24"/>
  <c r="L69" i="24"/>
  <c r="C12" i="24"/>
  <c r="L56" i="24"/>
  <c r="C5" i="24"/>
  <c r="L51" i="24"/>
  <c r="L54" i="24"/>
  <c r="L9" i="24"/>
  <c r="L25" i="24"/>
  <c r="C23" i="24"/>
  <c r="L71" i="24"/>
  <c r="L38" i="24"/>
  <c r="L81" i="24"/>
  <c r="C3" i="24"/>
  <c r="C14" i="24"/>
  <c r="C26" i="24"/>
  <c r="L76" i="24"/>
  <c r="C24" i="24"/>
  <c r="C38" i="24"/>
  <c r="C8" i="24"/>
  <c r="C17" i="24"/>
  <c r="L72" i="24"/>
  <c r="L14" i="24"/>
  <c r="L26" i="24"/>
  <c r="L33" i="24"/>
  <c r="L57" i="24"/>
  <c r="L53" i="24"/>
  <c r="L7" i="24"/>
  <c r="C37" i="24"/>
  <c r="L39" i="24"/>
  <c r="C4" i="24"/>
  <c r="L27" i="24"/>
  <c r="C31" i="24"/>
  <c r="L11" i="24"/>
  <c r="C29" i="24"/>
  <c r="L40" i="24"/>
  <c r="L2" i="24"/>
  <c r="L35" i="24"/>
  <c r="L64" i="24"/>
  <c r="C16" i="24"/>
  <c r="L68" i="24"/>
  <c r="C28" i="24"/>
  <c r="C39" i="24"/>
  <c r="L77" i="24"/>
  <c r="C33" i="24"/>
  <c r="C30" i="24"/>
  <c r="C32" i="24"/>
  <c r="L75" i="24"/>
  <c r="L22" i="24"/>
  <c r="L52" i="24"/>
  <c r="L13" i="24"/>
  <c r="L6" i="24"/>
  <c r="C13" i="24"/>
  <c r="L37" i="24"/>
  <c r="L4" i="24"/>
  <c r="L74" i="24"/>
  <c r="L28" i="24"/>
  <c r="L29" i="24"/>
  <c r="L42" i="24"/>
  <c r="C7" i="24"/>
  <c r="L8" i="24"/>
  <c r="L66" i="24"/>
  <c r="B2" i="24"/>
  <c r="L12" i="24"/>
  <c r="L49" i="24"/>
  <c r="L50" i="24"/>
  <c r="L17" i="24"/>
  <c r="L61" i="24"/>
  <c r="L19" i="24"/>
  <c r="C21" i="24"/>
  <c r="L31" i="24"/>
  <c r="G9" i="10" l="1"/>
  <c r="G28" i="10"/>
  <c r="G6" i="10"/>
  <c r="G31" i="10"/>
  <c r="G10" i="10"/>
  <c r="G12" i="10"/>
  <c r="G33" i="10"/>
  <c r="G21" i="10"/>
  <c r="G13" i="10"/>
  <c r="G3" i="10"/>
  <c r="G24" i="10"/>
  <c r="G34" i="10"/>
  <c r="G23" i="10"/>
  <c r="G5" i="10"/>
  <c r="G14" i="10"/>
  <c r="G8" i="10"/>
  <c r="G38" i="10"/>
  <c r="G30" i="10"/>
  <c r="G22" i="10"/>
  <c r="G19" i="10"/>
  <c r="G35" i="10"/>
  <c r="G29" i="10"/>
  <c r="G16" i="10"/>
  <c r="G11" i="10"/>
  <c r="G15" i="10"/>
  <c r="G17" i="10"/>
  <c r="G18" i="10"/>
  <c r="G20" i="10"/>
  <c r="G40" i="10"/>
  <c r="G37" i="10"/>
  <c r="G27" i="10"/>
  <c r="G7" i="10"/>
  <c r="G25" i="10"/>
  <c r="G32" i="10"/>
  <c r="G26" i="10"/>
  <c r="G39" i="10"/>
  <c r="G36" i="10"/>
  <c r="G4" i="10"/>
  <c r="D3" i="24"/>
  <c r="D15" i="24"/>
  <c r="D35" i="24"/>
  <c r="D2" i="24"/>
  <c r="D18" i="24"/>
  <c r="D5" i="24"/>
  <c r="D16" i="24"/>
  <c r="D10" i="24"/>
  <c r="D8" i="24"/>
  <c r="D33" i="24"/>
  <c r="D21" i="24"/>
  <c r="D30" i="24"/>
  <c r="D39" i="24"/>
  <c r="D22" i="24"/>
  <c r="D38" i="24"/>
  <c r="D6" i="24"/>
  <c r="D20" i="24"/>
  <c r="D27" i="24"/>
  <c r="D4" i="24"/>
  <c r="D34" i="24"/>
  <c r="D9" i="24"/>
  <c r="D14" i="24"/>
  <c r="D7" i="24"/>
  <c r="D31" i="24"/>
  <c r="D23" i="24"/>
  <c r="D28" i="24"/>
  <c r="D25" i="24"/>
  <c r="D26" i="24"/>
  <c r="D29" i="24"/>
  <c r="D32" i="24"/>
  <c r="D37" i="24"/>
  <c r="D11" i="24"/>
  <c r="D19" i="24"/>
  <c r="D17" i="24"/>
  <c r="D13" i="24"/>
  <c r="D24" i="24"/>
  <c r="D12" i="24"/>
  <c r="D36" i="24"/>
  <c r="E30" i="24"/>
  <c r="E23" i="24"/>
  <c r="E10" i="24"/>
  <c r="E11" i="24"/>
  <c r="E7" i="24"/>
  <c r="E17" i="24"/>
  <c r="E26" i="24"/>
  <c r="E19" i="24"/>
  <c r="E13" i="24"/>
  <c r="E33" i="24"/>
  <c r="E38" i="24"/>
  <c r="E29" i="24"/>
  <c r="E5" i="24"/>
  <c r="C2" i="24"/>
  <c r="E4" i="24"/>
  <c r="E21" i="24"/>
  <c r="E36" i="24"/>
  <c r="E32" i="24"/>
  <c r="E14" i="24"/>
  <c r="E25" i="24"/>
  <c r="E34" i="24"/>
  <c r="E27" i="24"/>
  <c r="E37" i="24"/>
  <c r="E8" i="24"/>
  <c r="E35" i="24"/>
  <c r="E18" i="24"/>
  <c r="E16" i="24"/>
  <c r="E3" i="24"/>
  <c r="E31" i="24"/>
  <c r="E22" i="24"/>
  <c r="E9" i="24"/>
  <c r="E20" i="24"/>
  <c r="E6" i="24"/>
  <c r="E15" i="24"/>
  <c r="E28" i="24"/>
  <c r="E39" i="24"/>
  <c r="E12" i="24"/>
  <c r="E2" i="24"/>
  <c r="E24" i="24"/>
</calcChain>
</file>

<file path=xl/comments1.xml><?xml version="1.0" encoding="utf-8"?>
<comments xmlns="http://schemas.openxmlformats.org/spreadsheetml/2006/main">
  <authors>
    <author>Ferdinando Ametrano</author>
  </authors>
  <commentList>
    <comment ref="AZ3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A3" author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BB3" author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BC3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BD3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E3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N3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O3" authorId="0">
      <text>
        <r>
          <rPr>
            <sz val="8"/>
            <color indexed="81"/>
            <rFont val="Tahoma"/>
            <family val="2"/>
          </rPr>
          <t>Caplet Volatility Structure object ID</t>
        </r>
      </text>
    </comment>
    <comment ref="BP3" authorId="0">
      <text>
        <r>
          <rPr>
            <sz val="8"/>
            <color indexed="81"/>
            <rFont val="Tahoma"/>
            <family val="2"/>
          </rPr>
          <t>Ibor Coupon Pricer Type (e.g IborByBlack, ..)</t>
        </r>
      </text>
    </comment>
    <comment ref="BQ3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R3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G1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N1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AZ13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G13" authorId="0">
      <text>
        <r>
          <rPr>
            <sz val="8"/>
            <color indexed="81"/>
            <rFont val="Tahoma"/>
            <family val="2"/>
          </rPr>
          <t>discounting yield term structure object ID</t>
        </r>
      </text>
    </comment>
    <comment ref="BN13" authorId="0">
      <text>
        <r>
          <rPr>
            <sz val="8"/>
            <color indexed="81"/>
            <rFont val="Tahoma"/>
            <family val="2"/>
          </rPr>
          <t>Caplet Volatility Structure object ID</t>
        </r>
      </text>
    </comment>
    <comment ref="AZ14" author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BG14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N14" authorId="0">
      <text>
        <r>
          <rPr>
            <sz val="8"/>
            <color indexed="81"/>
            <rFont val="Tahoma"/>
            <family val="2"/>
          </rPr>
          <t>Ibor Coupon Pricer Type (e.g IborByBlack, ..)</t>
        </r>
      </text>
    </comment>
    <comment ref="D15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AZ15" author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BG15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N15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D16" author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AZ16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BN16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D17" author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AZ17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D18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AZ18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D1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G19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D2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G20" authorId="0">
      <text>
        <r>
          <rPr>
            <sz val="8"/>
            <color indexed="81"/>
            <rFont val="Tahoma"/>
            <family val="2"/>
          </rPr>
          <t>Caplet Volatility Structure object ID</t>
        </r>
      </text>
    </comment>
    <comment ref="BG21" authorId="0">
      <text>
        <r>
          <rPr>
            <sz val="8"/>
            <color indexed="81"/>
            <rFont val="Tahoma"/>
            <family val="2"/>
          </rPr>
          <t>Ibor Coupon Pricer Type (e.g IborByBlack, ..)</t>
        </r>
      </text>
    </comment>
    <comment ref="BG22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G23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  <comment ref="B115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B116" authorId="0">
      <text>
        <r>
          <rPr>
            <sz val="8"/>
            <color indexed="81"/>
            <rFont val="Tahoma"/>
            <family val="2"/>
          </rPr>
          <t>cap/floor constant volatility Quote</t>
        </r>
      </text>
    </comment>
    <comment ref="B117" authorId="0">
      <text>
        <r>
          <rPr>
            <sz val="8"/>
            <color indexed="81"/>
            <rFont val="Tahoma"/>
            <family val="2"/>
          </rPr>
          <t>holiday calendar (e.g. TARGET) used for calculating the exercise dates from the expiries</t>
        </r>
      </text>
    </comment>
    <comment ref="B118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B11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B12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<sst xmlns="http://schemas.openxmlformats.org/spreadsheetml/2006/main" count="3695" uniqueCount="736">
  <si>
    <t>Description</t>
  </si>
  <si>
    <t>Term</t>
  </si>
  <si>
    <t>Mat. Date</t>
  </si>
  <si>
    <t>Start Date</t>
  </si>
  <si>
    <t>Discount Factor</t>
  </si>
  <si>
    <t>Spot Simple %</t>
  </si>
  <si>
    <t>Spot Compound %</t>
  </si>
  <si>
    <t>Yield Simple %</t>
  </si>
  <si>
    <t>Yield Compound %</t>
  </si>
  <si>
    <t>I. Rate Freq.</t>
  </si>
  <si>
    <t>2nd Leg I. Rate Freq.</t>
  </si>
  <si>
    <t>Shock %</t>
  </si>
  <si>
    <t>Shocked Input Rate %</t>
  </si>
  <si>
    <t>Input I. Rate %</t>
  </si>
  <si>
    <t>Mkt Instrument</t>
  </si>
  <si>
    <t>Input Rate Type</t>
  </si>
  <si>
    <t>Capitalisation</t>
  </si>
  <si>
    <t>Day Count</t>
  </si>
  <si>
    <t>OVN</t>
  </si>
  <si>
    <t>1Y</t>
  </si>
  <si>
    <t>ZC Deposit</t>
  </si>
  <si>
    <t>Spot</t>
  </si>
  <si>
    <t>Simple</t>
  </si>
  <si>
    <t>act/360</t>
  </si>
  <si>
    <t>TN</t>
  </si>
  <si>
    <t>SN</t>
  </si>
  <si>
    <t>1 Week</t>
  </si>
  <si>
    <t>2 Weeks</t>
  </si>
  <si>
    <t>3 Weeks</t>
  </si>
  <si>
    <t>1 Month</t>
  </si>
  <si>
    <t>2 Months</t>
  </si>
  <si>
    <t>3 Months</t>
  </si>
  <si>
    <t>4 Months</t>
  </si>
  <si>
    <t>5 Months</t>
  </si>
  <si>
    <t>6 Months</t>
  </si>
  <si>
    <t>7 Months</t>
  </si>
  <si>
    <t>8 Months</t>
  </si>
  <si>
    <t>9 Months</t>
  </si>
  <si>
    <t>10 Months</t>
  </si>
  <si>
    <t>11 Months</t>
  </si>
  <si>
    <t>1 Year</t>
  </si>
  <si>
    <t>15 Months</t>
  </si>
  <si>
    <t>Swap Rate</t>
  </si>
  <si>
    <t>Yield</t>
  </si>
  <si>
    <t>18 Months</t>
  </si>
  <si>
    <t>21 Months</t>
  </si>
  <si>
    <t>2 Years</t>
  </si>
  <si>
    <t>3 Years</t>
  </si>
  <si>
    <t>4 Years</t>
  </si>
  <si>
    <t>5 Years</t>
  </si>
  <si>
    <t>6 Years</t>
  </si>
  <si>
    <t>7 Years</t>
  </si>
  <si>
    <t>8 Years</t>
  </si>
  <si>
    <t>9 Years</t>
  </si>
  <si>
    <t>10 Years</t>
  </si>
  <si>
    <t>11 Years</t>
  </si>
  <si>
    <t>12 Years</t>
  </si>
  <si>
    <t>13 Years *</t>
  </si>
  <si>
    <t>14 Years *</t>
  </si>
  <si>
    <t>15 Years</t>
  </si>
  <si>
    <t>16 Years *</t>
  </si>
  <si>
    <t>17 Years *</t>
  </si>
  <si>
    <t>18 Years *</t>
  </si>
  <si>
    <t>19 Years *</t>
  </si>
  <si>
    <t>20 Years</t>
  </si>
  <si>
    <t>21 Years *</t>
  </si>
  <si>
    <t>22 Years *</t>
  </si>
  <si>
    <t>23 Years *</t>
  </si>
  <si>
    <t>24 Years *</t>
  </si>
  <si>
    <t>25 Years</t>
  </si>
  <si>
    <t>26 Years *</t>
  </si>
  <si>
    <t>27 Years *</t>
  </si>
  <si>
    <t>28 Years *</t>
  </si>
  <si>
    <t>29 Years *</t>
  </si>
  <si>
    <t>30 Years</t>
  </si>
  <si>
    <t>31 Years *</t>
  </si>
  <si>
    <t>32 Years *</t>
  </si>
  <si>
    <t>33 Years *</t>
  </si>
  <si>
    <t>34 Years *</t>
  </si>
  <si>
    <t>35 Years *</t>
  </si>
  <si>
    <t>36 Years *</t>
  </si>
  <si>
    <t>37 Years *</t>
  </si>
  <si>
    <t>38 Years *</t>
  </si>
  <si>
    <t>39 Years *</t>
  </si>
  <si>
    <t>40 Years</t>
  </si>
  <si>
    <t>41 Years *</t>
  </si>
  <si>
    <t>42 Years *</t>
  </si>
  <si>
    <t>43 Years *</t>
  </si>
  <si>
    <t>44 Years *</t>
  </si>
  <si>
    <t>45 Years *</t>
  </si>
  <si>
    <t>46 Years *</t>
  </si>
  <si>
    <t>47 Years *</t>
  </si>
  <si>
    <t>48 Years *</t>
  </si>
  <si>
    <t>49 Years *</t>
  </si>
  <si>
    <t>50 Years</t>
  </si>
  <si>
    <t>51 Years *</t>
  </si>
  <si>
    <t>52 Years *</t>
  </si>
  <si>
    <t>53 Years *</t>
  </si>
  <si>
    <t>54 Years *</t>
  </si>
  <si>
    <t>55 Years *</t>
  </si>
  <si>
    <t>56 Years *</t>
  </si>
  <si>
    <t>57 Years *</t>
  </si>
  <si>
    <t>58 Years *</t>
  </si>
  <si>
    <t>59 Years *</t>
  </si>
  <si>
    <t>60 Years</t>
  </si>
  <si>
    <t>versione del programma</t>
  </si>
  <si>
    <t>qlEonia</t>
  </si>
  <si>
    <t>string returnValue</t>
  </si>
  <si>
    <t>qlEonia(</t>
  </si>
  <si>
    <t>string ObjectId</t>
  </si>
  <si>
    <t>string YieldCurve</t>
  </si>
  <si>
    <t>bool Permanent</t>
  </si>
  <si>
    <t>any Trigger</t>
  </si>
  <si>
    <t>bool Overwrite)</t>
  </si>
  <si>
    <t>Description:</t>
  </si>
  <si>
    <t>Construct an object of class Eonia and return its id</t>
  </si>
  <si>
    <t>Supported Platforms:</t>
  </si>
  <si>
    <t>C++, Calc, Excel</t>
  </si>
  <si>
    <t>Parameters</t>
  </si>
  <si>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</si>
  <si>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</si>
  <si>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</si>
  <si>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</si>
  <si>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</si>
  <si>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</si>
  <si>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</si>
  <si>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</si>
  <si>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</si>
  <si>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</si>
  <si>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Index</t>
  </si>
  <si>
    <t>ObjectID</t>
  </si>
  <si>
    <t>EONIA</t>
  </si>
  <si>
    <t>qlDepositRateHelper2</t>
  </si>
  <si>
    <t>qlDepositRateHelper2(</t>
  </si>
  <si>
    <t>string Rate</t>
  </si>
  <si>
    <t>string Tenor</t>
  </si>
  <si>
    <t>long FixingDays</t>
  </si>
  <si>
    <t>string Calendar</t>
  </si>
  <si>
    <t>string Convention</t>
  </si>
  <si>
    <t>bool EndOfMonth</t>
  </si>
  <si>
    <t>string DayCounter</t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</si>
  <si>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</si>
  <si>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</si>
  <si>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</si>
  <si>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</si>
  <si>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</si>
  <si>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</si>
  <si>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</si>
  <si>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</si>
  <si>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</si>
  <si>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</si>
  <si>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</si>
  <si>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</si>
  <si>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</si>
  <si>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</si>
  <si>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</si>
  <si>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1D</t>
  </si>
  <si>
    <t>TARGET</t>
  </si>
  <si>
    <t>Modified Following</t>
  </si>
  <si>
    <t>Actual/360</t>
  </si>
  <si>
    <t>#</t>
  </si>
  <si>
    <t>2D</t>
  </si>
  <si>
    <t>DepositRateHelper</t>
  </si>
  <si>
    <t>qlOISRateHelper</t>
  </si>
  <si>
    <t>qlOISRateHelper(</t>
  </si>
  <si>
    <t>long SettlDays</t>
  </si>
  <si>
    <t>string FixedRate</t>
  </si>
  <si>
    <t>string ONIndex</t>
  </si>
  <si>
    <t>string DiscountingCurve</t>
  </si>
  <si>
    <t>Construct an object of class OISRateHelper and return its id</t>
  </si>
  <si>
    <t>SettlDays</t>
  </si>
  <si>
    <t>swap settlement days.</t>
  </si>
  <si>
    <t>swap length (e.g. 5Y for five years).</t>
  </si>
  <si>
    <t>FixedRate</t>
  </si>
  <si>
    <t>quote.</t>
  </si>
  <si>
    <t>ONIndex</t>
  </si>
  <si>
    <t>floating leg OvernightIndex object ID.</t>
  </si>
  <si>
    <t>DiscountingCurve</t>
  </si>
  <si>
    <t>discounting YieldTermStructure object ID. Default value = .</t>
  </si>
  <si>
    <t>1W</t>
  </si>
  <si>
    <t>2W</t>
  </si>
  <si>
    <t>3W</t>
  </si>
  <si>
    <t>1M</t>
  </si>
  <si>
    <t>2M</t>
  </si>
  <si>
    <t>3M</t>
  </si>
  <si>
    <t>4M</t>
  </si>
  <si>
    <t>5M</t>
  </si>
  <si>
    <t>6M</t>
  </si>
  <si>
    <t>7M</t>
  </si>
  <si>
    <t>8M</t>
  </si>
  <si>
    <t>9M</t>
  </si>
  <si>
    <t>10M</t>
  </si>
  <si>
    <t>11M</t>
  </si>
  <si>
    <t>12M</t>
  </si>
  <si>
    <t>15M</t>
  </si>
  <si>
    <t>18M</t>
  </si>
  <si>
    <t>21M</t>
  </si>
  <si>
    <t>2Y</t>
  </si>
  <si>
    <t>3Y</t>
  </si>
  <si>
    <t>4Y</t>
  </si>
  <si>
    <t>5Y</t>
  </si>
  <si>
    <t>6Y</t>
  </si>
  <si>
    <t>7Y</t>
  </si>
  <si>
    <t>8Y</t>
  </si>
  <si>
    <t>9Y</t>
  </si>
  <si>
    <t>10Y</t>
  </si>
  <si>
    <t>11Y</t>
  </si>
  <si>
    <t>12Y</t>
  </si>
  <si>
    <t>15Y</t>
  </si>
  <si>
    <t>20Y</t>
  </si>
  <si>
    <t>25Y</t>
  </si>
  <si>
    <t>30Y</t>
  </si>
  <si>
    <t>40Y</t>
  </si>
  <si>
    <t>50Y</t>
  </si>
  <si>
    <t>60Y</t>
  </si>
  <si>
    <t>OISRAteHelper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</si>
  <si>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</si>
  <si>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</si>
  <si>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</si>
  <si>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</si>
  <si>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</si>
  <si>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t>long NImmFutures</t>
  </si>
  <si>
    <t>long NSerialFutures</t>
  </si>
  <si>
    <t>long FutureRollDays</t>
  </si>
  <si>
    <t>string DepoInclusion</t>
  </si>
  <si>
    <t>vector&lt;long&gt; MinDistance</t>
  </si>
  <si>
    <t>any Trigger)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</si>
  <si>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</si>
  <si>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</si>
  <si>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</si>
  <si>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</si>
  <si>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</si>
  <si>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</si>
  <si>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</si>
  <si>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</si>
  <si>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</si>
  <si>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</si>
  <si>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</si>
  <si>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</si>
  <si>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</si>
  <si>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</si>
  <si>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</si>
  <si>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</si>
  <si>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AllDepos</t>
  </si>
  <si>
    <t>RateHelperSelection</t>
  </si>
  <si>
    <t>qlPiecewiseYieldCurve</t>
  </si>
  <si>
    <t>qlPiecewiseYieldCurve(</t>
  </si>
  <si>
    <t>long NDays</t>
  </si>
  <si>
    <t>vector&lt;string&gt; Jumps</t>
  </si>
  <si>
    <t>vector&lt;long&gt; JumpDates</t>
  </si>
  <si>
    <t>double Accuracy</t>
  </si>
  <si>
    <t>string TraitsID</t>
  </si>
  <si>
    <t>string InterpolatorID</t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</si>
  <si>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</si>
  <si>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</si>
  <si>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</si>
  <si>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</si>
  <si>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</si>
  <si>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</si>
  <si>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</si>
  <si>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</si>
  <si>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</si>
  <si>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</si>
  <si>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</si>
  <si>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</si>
  <si>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</si>
  <si>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</si>
  <si>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</si>
  <si>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</si>
  <si>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OIS_curve</t>
  </si>
  <si>
    <t>Target</t>
  </si>
  <si>
    <t>Discount</t>
  </si>
  <si>
    <t>LogLinear</t>
  </si>
  <si>
    <t>Funzione</t>
  </si>
  <si>
    <t>Error</t>
  </si>
  <si>
    <t>Dates</t>
  </si>
  <si>
    <t>Dati Sistema</t>
  </si>
  <si>
    <t>qlYieldTSZeroRate</t>
  </si>
  <si>
    <t>qlYieldTSZeroRate(</t>
  </si>
  <si>
    <t>vector&lt;long&gt; Dates</t>
  </si>
  <si>
    <t>string ResultDayCounter</t>
  </si>
  <si>
    <t>string Compounding</t>
  </si>
  <si>
    <t>string Frequency</t>
  </si>
  <si>
    <t>bool AllowExtrapolation</t>
  </si>
  <si>
    <t>Returns the zero interest rate from the given YieldTermStructure object.</t>
  </si>
  <si>
    <t>Calc, Excel</t>
  </si>
  <si>
    <t>id of existing QuantLib::YieldTermStructure object</t>
  </si>
  <si>
    <t>date.</t>
  </si>
  <si>
    <t>ResultDayCounter</t>
  </si>
  <si>
    <t>resultDayCounter.</t>
  </si>
  <si>
    <t>Compounding</t>
  </si>
  <si>
    <t>Interest rate coumpounding rule (Simple:1+rt, Compounded:(1+r)^t, Continuous:e^{rt}). Default value = Continuous.</t>
  </si>
  <si>
    <t>Frequency</t>
  </si>
  <si>
    <t>frequency (e.g. Annual, Semiannual, Every4Month, Quarterly, Bimonthly, Monthly). Default value = Annual.</t>
  </si>
  <si>
    <t>AllowExtrapolation</t>
  </si>
  <si>
    <t>TRUE allows extrapolation. Default value = false.</t>
  </si>
  <si>
    <t>mettere ticker Bloomberg</t>
  </si>
  <si>
    <t>Date</t>
  </si>
  <si>
    <t>TermStructureCalendar</t>
  </si>
  <si>
    <t>TermStructureDayCounter</t>
  </si>
  <si>
    <t>Continuous</t>
  </si>
  <si>
    <t>Annual</t>
  </si>
  <si>
    <r>
      <t xml:space="preserve">Zero Rate (usando la funzione </t>
    </r>
    <r>
      <rPr>
        <b/>
        <sz val="11"/>
        <color theme="1"/>
        <rFont val="Calibri"/>
        <family val="2"/>
        <scheme val="minor"/>
      </rPr>
      <t>qlYieldTsZeroRate())</t>
    </r>
  </si>
  <si>
    <t>Errore funzione</t>
  </si>
  <si>
    <t>Dates (qlPiecewiseYieldCurveDAtes())</t>
  </si>
  <si>
    <t>Data (qlPiecewiseYieldCurveData())</t>
  </si>
  <si>
    <t>Test su sistema alternativo</t>
  </si>
  <si>
    <t>DiscountRate</t>
  </si>
  <si>
    <r>
      <t xml:space="preserve">Discount Rate (usando la funzione </t>
    </r>
    <r>
      <rPr>
        <b/>
        <sz val="11"/>
        <color theme="1"/>
        <rFont val="Calibri"/>
        <family val="2"/>
        <scheme val="minor"/>
      </rPr>
      <t>qlYieldTsZeroRate())</t>
    </r>
  </si>
  <si>
    <t>qlYieldTSDiscount</t>
  </si>
  <si>
    <t>vector&lt;double&gt; returnValue</t>
  </si>
  <si>
    <t>qlYieldTSDiscount(</t>
  </si>
  <si>
    <t>vector&lt;long&gt; DfDates</t>
  </si>
  <si>
    <t>Returns a discount factor from the given YieldTermStructure object.</t>
  </si>
  <si>
    <t>DfDates</t>
  </si>
  <si>
    <t>vector of dates.</t>
  </si>
  <si>
    <t>qlYieldTSForwardRate</t>
  </si>
  <si>
    <t>qlYieldTSForwardRate(</t>
  </si>
  <si>
    <t>long D1</t>
  </si>
  <si>
    <t>vector&lt;long&gt; D2</t>
  </si>
  <si>
    <t>Data partenza Curva</t>
  </si>
  <si>
    <t>Nota: la curva è costruita con settlemnet pari a 2D e quindi al 28/02/2017, quindi non si possono avere dati per le date anteriori</t>
  </si>
  <si>
    <t>TimeFactor</t>
  </si>
  <si>
    <t>Calcolo df</t>
  </si>
  <si>
    <t>Returns the forward interest rate from the given YieldTermStructure object.</t>
  </si>
  <si>
    <t>D1</t>
  </si>
  <si>
    <t>first date.</t>
  </si>
  <si>
    <t>D2</t>
  </si>
  <si>
    <t>second date.</t>
  </si>
  <si>
    <t>result DayCounter.</t>
  </si>
  <si>
    <t>Interest rate compounding rule (Simple:1+rt, Compounded:(1+r)^t, Continuous:e^{rt}). Default value = Simple.</t>
  </si>
  <si>
    <t>Compounding Forward Rates</t>
  </si>
  <si>
    <t>Forward Rates</t>
  </si>
  <si>
    <t>Tasso Continuo</t>
  </si>
  <si>
    <t>3M/9M</t>
  </si>
  <si>
    <t>Fra Rate</t>
  </si>
  <si>
    <t>FRA</t>
  </si>
  <si>
    <t>6M/1Y</t>
  </si>
  <si>
    <t>1Y/18M</t>
  </si>
  <si>
    <t>18M/2Y</t>
  </si>
  <si>
    <t>30 Months *</t>
  </si>
  <si>
    <t>30/360</t>
  </si>
  <si>
    <t>42 Months *</t>
  </si>
  <si>
    <t>54 Months *</t>
  </si>
  <si>
    <t>66 Months *</t>
  </si>
  <si>
    <t>78 Months *</t>
  </si>
  <si>
    <t>90 Months *</t>
  </si>
  <si>
    <t>102 Months *</t>
  </si>
  <si>
    <t>114 Months *</t>
  </si>
  <si>
    <t>126 Months *</t>
  </si>
  <si>
    <t>138 Months *</t>
  </si>
  <si>
    <t>150 Months *</t>
  </si>
  <si>
    <t>13 Years</t>
  </si>
  <si>
    <t>162 Months *</t>
  </si>
  <si>
    <t>14 Years</t>
  </si>
  <si>
    <t>174 Months *</t>
  </si>
  <si>
    <t>186 Months *</t>
  </si>
  <si>
    <t>16 Years</t>
  </si>
  <si>
    <t>198 Months *</t>
  </si>
  <si>
    <t>17 Years</t>
  </si>
  <si>
    <t>210 Months *</t>
  </si>
  <si>
    <t>18 Years</t>
  </si>
  <si>
    <t>222 Months *</t>
  </si>
  <si>
    <t>19 Years</t>
  </si>
  <si>
    <t>234 Months *</t>
  </si>
  <si>
    <t>246 Months *</t>
  </si>
  <si>
    <t>21 Years</t>
  </si>
  <si>
    <t>258 Months *</t>
  </si>
  <si>
    <t>22 Years</t>
  </si>
  <si>
    <t>270 Months *</t>
  </si>
  <si>
    <t>23 Years</t>
  </si>
  <si>
    <t>282 Months *</t>
  </si>
  <si>
    <t>24 Years</t>
  </si>
  <si>
    <t>294 Months *</t>
  </si>
  <si>
    <t>306 Months *</t>
  </si>
  <si>
    <t>26 Years</t>
  </si>
  <si>
    <t>318 Months *</t>
  </si>
  <si>
    <t>27 Years</t>
  </si>
  <si>
    <t>330 Months *</t>
  </si>
  <si>
    <t>28 Years</t>
  </si>
  <si>
    <t>342 Months *</t>
  </si>
  <si>
    <t>29 Years</t>
  </si>
  <si>
    <t>354 Months *</t>
  </si>
  <si>
    <t>366 Months *</t>
  </si>
  <si>
    <t>378 Months *</t>
  </si>
  <si>
    <t>390 Months *</t>
  </si>
  <si>
    <t>402 Months *</t>
  </si>
  <si>
    <t>414 Months *</t>
  </si>
  <si>
    <t>35 Years</t>
  </si>
  <si>
    <t>426 Months *</t>
  </si>
  <si>
    <t>438 Months *</t>
  </si>
  <si>
    <t>450 Months *</t>
  </si>
  <si>
    <t>462 Months *</t>
  </si>
  <si>
    <t>474 Months *</t>
  </si>
  <si>
    <t>486 Months *</t>
  </si>
  <si>
    <t>498 Months *</t>
  </si>
  <si>
    <t>510 Months *</t>
  </si>
  <si>
    <t>522 Months *</t>
  </si>
  <si>
    <t>534 Months *</t>
  </si>
  <si>
    <t>546 Months *</t>
  </si>
  <si>
    <t>558 Months *</t>
  </si>
  <si>
    <t>570 Months *</t>
  </si>
  <si>
    <t>582 Months *</t>
  </si>
  <si>
    <t>594 Months *</t>
  </si>
  <si>
    <t>606 Months *</t>
  </si>
  <si>
    <t>618 Months *</t>
  </si>
  <si>
    <t>630 Months *</t>
  </si>
  <si>
    <t>642 Months *</t>
  </si>
  <si>
    <t>654 Months *</t>
  </si>
  <si>
    <t>666 Months *</t>
  </si>
  <si>
    <t>678 Months *</t>
  </si>
  <si>
    <t>690 Months *</t>
  </si>
  <si>
    <t>702 Months *</t>
  </si>
  <si>
    <t>714 Months *</t>
  </si>
  <si>
    <t>EUR SWAP 6M</t>
  </si>
  <si>
    <t>qlEuribor</t>
  </si>
  <si>
    <t>qlEuribor(</t>
  </si>
  <si>
    <t>Construct an object of class Euribor and return its id</t>
  </si>
  <si>
    <t>index tenor: SW (1W), 2W, 3W, 1M, 2M, 3M, 4M, 5M, 6M, 7M, 8M, 9M, 10M, 11M, 12M (1Y).</t>
  </si>
  <si>
    <t>SW6_6M</t>
  </si>
  <si>
    <t>n.b. attenzione ai nomi, devono essere diversi.</t>
  </si>
  <si>
    <t>qlFraRateHelper2</t>
  </si>
  <si>
    <t>qlFraRateHelper2(</t>
  </si>
  <si>
    <t>string PeriodToStart</t>
  </si>
  <si>
    <t>long LengthInMonths</t>
  </si>
  <si>
    <t>string PillarDate</t>
  </si>
  <si>
    <t>long CustomPillarDate</t>
  </si>
  <si>
    <t>Construct an object of class FraRateHelper and return its id</t>
  </si>
  <si>
    <t>PeriodToStart</t>
  </si>
  <si>
    <t>Period to start date.</t>
  </si>
  <si>
    <t>LengthInMonths</t>
  </si>
  <si>
    <t>months to end.</t>
  </si>
  <si>
    <t>PillarDate</t>
  </si>
  <si>
    <t>Pillar date can be: MaturityDate, LastRelevantDate or CustomDate. Default value = MaturityDate.</t>
  </si>
  <si>
    <t>CustomPillarDate</t>
  </si>
  <si>
    <t>Custom Pillar Date. Default value = QuantLib::Date().</t>
  </si>
  <si>
    <t>SW6_3m_9m</t>
  </si>
  <si>
    <t>SW6_6m_1y</t>
  </si>
  <si>
    <t>SW6_1Y_18M</t>
  </si>
  <si>
    <t>SW6_18M_1Y</t>
  </si>
  <si>
    <t>qlSwapRateHelper2</t>
  </si>
  <si>
    <t>qlSwapRateHelper2(</t>
  </si>
  <si>
    <t>string FixedLegFrequency</t>
  </si>
  <si>
    <t>string FixedLegConvention</t>
  </si>
  <si>
    <t>string FixedLegDayCounter</t>
  </si>
  <si>
    <t>string IborIndex</t>
  </si>
  <si>
    <t>string Spread</t>
  </si>
  <si>
    <t>string ForwardStart</t>
  </si>
  <si>
    <t>Construct an object of class SwapRateHelper and return its id</t>
  </si>
  <si>
    <t>Number of days to spot date. Default value = 2.</t>
  </si>
  <si>
    <t>FixedLegFrequency</t>
  </si>
  <si>
    <t>fixed leg frequency (e.g. Annual, Semiannual, Every4Month, Quarterly, Bimonthly, Monthly).</t>
  </si>
  <si>
    <t>FixedLegConvention</t>
  </si>
  <si>
    <t>fixed leg convention (e.g. Unadjusted).</t>
  </si>
  <si>
    <t>FixedLegDayCounter</t>
  </si>
  <si>
    <t>day counter (e.g. Actual/360).</t>
  </si>
  <si>
    <t>IborIndex</t>
  </si>
  <si>
    <t>floating leg IborIndex object ID.</t>
  </si>
  <si>
    <t>Spread</t>
  </si>
  <si>
    <t>floating leg spread.</t>
  </si>
  <si>
    <t>ForwardStart</t>
  </si>
  <si>
    <t>forward start period.</t>
  </si>
  <si>
    <t>0D</t>
  </si>
  <si>
    <t>EONIA1</t>
  </si>
  <si>
    <t>13Y</t>
  </si>
  <si>
    <t>14Y</t>
  </si>
  <si>
    <t>16Y</t>
  </si>
  <si>
    <t>17Y</t>
  </si>
  <si>
    <t>18Y</t>
  </si>
  <si>
    <t>19Y</t>
  </si>
  <si>
    <t>21Y</t>
  </si>
  <si>
    <t>22Y</t>
  </si>
  <si>
    <t>23Y</t>
  </si>
  <si>
    <t>24Y</t>
  </si>
  <si>
    <t>26Y</t>
  </si>
  <si>
    <t>27Y</t>
  </si>
  <si>
    <t>28Y</t>
  </si>
  <si>
    <t>29Y</t>
  </si>
  <si>
    <t>35Y</t>
  </si>
  <si>
    <t>SW6_curve</t>
  </si>
  <si>
    <t>Linear</t>
  </si>
  <si>
    <t>H.S. Tenor</t>
  </si>
  <si>
    <t>Shocked I. Rate % / Price</t>
  </si>
  <si>
    <t>Input I. Rate % / Price</t>
  </si>
  <si>
    <t>Coupon I. Rate %</t>
  </si>
  <si>
    <t>Reference Data</t>
  </si>
  <si>
    <t>Annual Spread %</t>
  </si>
  <si>
    <t>Rate Type</t>
  </si>
  <si>
    <t>Redemption Price</t>
  </si>
  <si>
    <t>Rating Agency</t>
  </si>
  <si>
    <t>Rating</t>
  </si>
  <si>
    <t>rate</t>
  </si>
  <si>
    <t>rate + shift</t>
  </si>
  <si>
    <t>df(rate+shift)</t>
  </si>
  <si>
    <t>Bond ZC Price</t>
  </si>
  <si>
    <t>ZC Price</t>
  </si>
  <si>
    <t>Cont.</t>
  </si>
  <si>
    <t>Fixed</t>
  </si>
  <si>
    <t>BOTS 0 10/13/2017</t>
  </si>
  <si>
    <t>1 Year *</t>
  </si>
  <si>
    <t>18 Months *</t>
  </si>
  <si>
    <t>19 Months</t>
  </si>
  <si>
    <t>Bond Price</t>
  </si>
  <si>
    <t>Price</t>
  </si>
  <si>
    <t>act/act ISMA</t>
  </si>
  <si>
    <t>2 Years *</t>
  </si>
  <si>
    <t>BTPS 4 1/2 03/19</t>
  </si>
  <si>
    <t>33 Months</t>
  </si>
  <si>
    <t>3 Years *</t>
  </si>
  <si>
    <t>BTPS 0.65 11/01/20</t>
  </si>
  <si>
    <t>4 Years *</t>
  </si>
  <si>
    <t>BTPS 2.15 12/21</t>
  </si>
  <si>
    <t>5 Years *</t>
  </si>
  <si>
    <t>BTPS 1.35% 04/22</t>
  </si>
  <si>
    <t>BTPS 1.45 09/15/22</t>
  </si>
  <si>
    <t>6 Years *</t>
  </si>
  <si>
    <t>BTPS 4.5 5/1/2023</t>
  </si>
  <si>
    <t>BTPS 4 3/4 08/01/23</t>
  </si>
  <si>
    <t>7 Years *</t>
  </si>
  <si>
    <t>BTPS 4.5 03/01/2024</t>
  </si>
  <si>
    <t>BTPS 3.75 09/01/2024</t>
  </si>
  <si>
    <t>8 Years *</t>
  </si>
  <si>
    <t>BTPS 5 03/01/25</t>
  </si>
  <si>
    <t>BTPS 2% 12/25</t>
  </si>
  <si>
    <t>9 Years *</t>
  </si>
  <si>
    <t>BTP 4.5 03/01/26</t>
  </si>
  <si>
    <t>BTPS 1.25% 12/01/26</t>
  </si>
  <si>
    <t>10 Years *</t>
  </si>
  <si>
    <t>11 Years *</t>
  </si>
  <si>
    <t>BTPS 4 3/4 01/09/28</t>
  </si>
  <si>
    <t>12 Years *</t>
  </si>
  <si>
    <t>BTPS 3.5 03/01/2030</t>
  </si>
  <si>
    <t>15 Years *</t>
  </si>
  <si>
    <t>BTPS 1,65 01/03/32</t>
  </si>
  <si>
    <t>BTPS 5 08/01/34</t>
  </si>
  <si>
    <t>BTPS 2.25 09/01/36</t>
  </si>
  <si>
    <t>20 Years *</t>
  </si>
  <si>
    <t>BTPS 5% 01/09/40</t>
  </si>
  <si>
    <t>25 Years *</t>
  </si>
  <si>
    <t>BTPS 4 3/4 01/09/44</t>
  </si>
  <si>
    <t>BTPS 3.25 09/01/2046</t>
  </si>
  <si>
    <t>30 Years *</t>
  </si>
  <si>
    <t>BTPS 2.7% 03/01/47</t>
  </si>
  <si>
    <t>40 Years *</t>
  </si>
  <si>
    <t>50 Years *</t>
  </si>
  <si>
    <t>qlSchedule</t>
  </si>
  <si>
    <t>qlSchedule(</t>
  </si>
  <si>
    <t>long EffectiveDate</t>
  </si>
  <si>
    <t>long TerminationDate</t>
  </si>
  <si>
    <t>string TermDateConv</t>
  </si>
  <si>
    <t>string GenRule</t>
  </si>
  <si>
    <t>long FirstDate</t>
  </si>
  <si>
    <t>long NextToLastDate</t>
  </si>
  <si>
    <t>Construct an object of class Schedule and return its id</t>
  </si>
  <si>
    <t>EffectiveDate</t>
  </si>
  <si>
    <t>effective date. Default value = QuantLib::Date().</t>
  </si>
  <si>
    <t>TerminationDate</t>
  </si>
  <si>
    <t>termination date.</t>
  </si>
  <si>
    <t>tenor (e.g. 2D for two days , 3W for three weeks, 6M for six months, 1Y for one year).</t>
  </si>
  <si>
    <t>holiday calendar (e.g. TARGET). Default value = NullCalendar.</t>
  </si>
  <si>
    <t>accrual dates business day convention. Default value = Unadjusted.</t>
  </si>
  <si>
    <t>TermDateConv</t>
  </si>
  <si>
    <t>termination date business day convention. Default value = Unadjusted.</t>
  </si>
  <si>
    <t>GenRule</t>
  </si>
  <si>
    <t>Date generation rule (Backward, Forward, ThirdWednesday, Twentieth, TwentiethIMM, Zero). Default value = Backward.</t>
  </si>
  <si>
    <t>end of month convention. Ignored for Tenor below 1M. Default value = false.</t>
  </si>
  <si>
    <t>FirstDate</t>
  </si>
  <si>
    <t>stub date, if there is an irregular starting period. Default value = QuantLib::Date().</t>
  </si>
  <si>
    <t>NextToLastDate</t>
  </si>
  <si>
    <t>stub date, if there an irregular final period. Default value = QuantLib::Date().</t>
  </si>
  <si>
    <t>Tipo Titolo (BOT o BTP)</t>
  </si>
  <si>
    <t>Unadjusted</t>
  </si>
  <si>
    <t>Backward</t>
  </si>
  <si>
    <t>1.Schedule</t>
  </si>
  <si>
    <t>Funzioni QuantLIB</t>
  </si>
  <si>
    <t>1.</t>
  </si>
  <si>
    <t>2. qlfixedratebond()</t>
  </si>
  <si>
    <t>qlFixedRateBond</t>
  </si>
  <si>
    <t>qlFixedRateBond(</t>
  </si>
  <si>
    <t>string Description</t>
  </si>
  <si>
    <t>string Currency</t>
  </si>
  <si>
    <t>long SettlementDays</t>
  </si>
  <si>
    <t>double FaceAmount</t>
  </si>
  <si>
    <t>string ScheduleID</t>
  </si>
  <si>
    <t>vector&lt;double&gt; Coupons</t>
  </si>
  <si>
    <t>string PaymentBDC</t>
  </si>
  <si>
    <t>double Redemption</t>
  </si>
  <si>
    <t>long IssueDate</t>
  </si>
  <si>
    <t>string PaymentCalendar</t>
  </si>
  <si>
    <t>Construct an object of class FixedRateBond and return its id</t>
  </si>
  <si>
    <t>Bond description string. Autogenerated if null Default value = std::string().</t>
  </si>
  <si>
    <t>Currency</t>
  </si>
  <si>
    <t>bond Currency.</t>
  </si>
  <si>
    <t>SettlementDays</t>
  </si>
  <si>
    <t>settlement days.</t>
  </si>
  <si>
    <t>FaceAmount</t>
  </si>
  <si>
    <t>Face nominal amount. Default value = 100.0.</t>
  </si>
  <si>
    <t>ScheduleID</t>
  </si>
  <si>
    <t>Schedule object ID.</t>
  </si>
  <si>
    <t>Coupons</t>
  </si>
  <si>
    <t>simple annual compounding coupon rates.</t>
  </si>
  <si>
    <t>Payment DayCounter ID.</t>
  </si>
  <si>
    <t>PaymentBDC</t>
  </si>
  <si>
    <t>payment business day convention. Default value = Following.</t>
  </si>
  <si>
    <t>Redemption</t>
  </si>
  <si>
    <t>Redemption value. Default value = 100.0.</t>
  </si>
  <si>
    <t>IssueDate</t>
  </si>
  <si>
    <t>issue date: the bond can't be traded until then. Default value = QuantLib::Date().</t>
  </si>
  <si>
    <t>PaymentCalendar</t>
  </si>
  <si>
    <t>payment holiday calendar (e.g. TARGET).</t>
  </si>
  <si>
    <t>2. Fixed Rate Bond</t>
  </si>
  <si>
    <t>EUR</t>
  </si>
  <si>
    <t>Anni curva</t>
  </si>
  <si>
    <t>qlBondHelper</t>
  </si>
  <si>
    <t>qlBondHelper(</t>
  </si>
  <si>
    <t>string Price</t>
  </si>
  <si>
    <t>string Bond</t>
  </si>
  <si>
    <t>bool UseCleanPrice</t>
  </si>
  <si>
    <t>Construct an object of class BondHelper and return its id</t>
  </si>
  <si>
    <t>price.</t>
  </si>
  <si>
    <t>Bond</t>
  </si>
  <si>
    <t>Bond object ID.</t>
  </si>
  <si>
    <t>UseCleanPrice</t>
  </si>
  <si>
    <t>Type of price specified (TRUE clean price, FALSE for dirty price). Default value = true.</t>
  </si>
  <si>
    <t>3. BondHelper</t>
  </si>
  <si>
    <t>CurvaGovernativaItalia</t>
  </si>
  <si>
    <t>act/365</t>
  </si>
  <si>
    <t>Curva Swap 6M</t>
  </si>
  <si>
    <t>Curva Governativa Italia</t>
  </si>
  <si>
    <r>
      <t xml:space="preserve">Discount Rate (usando la funzione </t>
    </r>
    <r>
      <rPr>
        <b/>
        <sz val="11"/>
        <color theme="1"/>
        <rFont val="Calibri"/>
        <family val="2"/>
        <scheme val="minor"/>
      </rPr>
      <t>qlYieldTsDiscount())</t>
    </r>
  </si>
  <si>
    <t>Actual/365</t>
  </si>
  <si>
    <t>Dates (qlPiecewiseYieldCurveDates())</t>
  </si>
  <si>
    <t xml:space="preserve">BTPS 4.5 03/01/2024 </t>
  </si>
  <si>
    <t>esempio BTP</t>
  </si>
  <si>
    <t>1. Schedule</t>
  </si>
  <si>
    <t>FixedBond_EsempioBTP</t>
  </si>
  <si>
    <t>act/act</t>
  </si>
  <si>
    <t>Following</t>
  </si>
  <si>
    <t>qlBondEngine</t>
  </si>
  <si>
    <t>qlBondEngine(</t>
  </si>
  <si>
    <t>Construct an object of class BondEngine and return its id</t>
  </si>
  <si>
    <t>discounting yield term structure object ID.</t>
  </si>
  <si>
    <t>3. Bond Engine</t>
  </si>
  <si>
    <t>FIxedRateBondEngine</t>
  </si>
  <si>
    <t>qlInstrumentSetPricingEngine</t>
  </si>
  <si>
    <t>void returnValue</t>
  </si>
  <si>
    <t>qlInstrumentSetPricingEngine(</t>
  </si>
  <si>
    <t>string PricingEngine</t>
  </si>
  <si>
    <t>Sets a new pricing engine to the given Instrument pbject.</t>
  </si>
  <si>
    <t>id of existing QuantLibAddin::Instrument object</t>
  </si>
  <si>
    <t>PricingEngine</t>
  </si>
  <si>
    <t>PricingEngine object ID.</t>
  </si>
  <si>
    <t>4. Set Pricing Engine</t>
  </si>
  <si>
    <t>qlBondCleanPrice</t>
  </si>
  <si>
    <t>double returnValue</t>
  </si>
  <si>
    <t>qlBondCleanPrice(</t>
  </si>
  <si>
    <t>Returns the clean price for the given bond.</t>
  </si>
  <si>
    <t>id of existing QuantLib::Bond object</t>
  </si>
  <si>
    <t>5. Bond Clean Price</t>
  </si>
  <si>
    <t>6. Bond Accrued</t>
  </si>
  <si>
    <t>Accrued End Date</t>
  </si>
  <si>
    <t>Accrued Start Date</t>
  </si>
  <si>
    <t>Accrual Days (giorni che mancano alla prox data stacco cedola)</t>
  </si>
  <si>
    <t>Accrued Days (giorni di accruing fino alla settlement)</t>
  </si>
  <si>
    <t>Sensitivity BTP = BP Value BTP</t>
  </si>
  <si>
    <t>Clean Price Curve</t>
  </si>
  <si>
    <t>esempio CCT</t>
  </si>
  <si>
    <t>2. Floating Rate Bond</t>
  </si>
  <si>
    <t>qlFloatingRateBond</t>
  </si>
  <si>
    <t>qlFloatingRateBond(</t>
  </si>
  <si>
    <t>bool IsInArrears</t>
  </si>
  <si>
    <t>vector&lt;double&gt; Floors</t>
  </si>
  <si>
    <t>vector&lt;double&gt; Gearings</t>
  </si>
  <si>
    <t>vector&lt;double&gt; Spreads</t>
  </si>
  <si>
    <t>vector&lt;double&gt; Caps</t>
  </si>
  <si>
    <t>Construct an object of class FloatingRateBond and return its id</t>
  </si>
  <si>
    <t>fixing days (e.g. 2). Default value = QuantLib::Null&lt;QuantLib::Natural&gt;().</t>
  </si>
  <si>
    <t>IsInArrears</t>
  </si>
  <si>
    <t>TRUE if the fixing is in arrears. Default value = false.</t>
  </si>
  <si>
    <t>Floors</t>
  </si>
  <si>
    <t>floor strikes. Default value = std::vector&lt;QuantLib::Rate&gt;().</t>
  </si>
  <si>
    <t>Gearings</t>
  </si>
  <si>
    <t>floating rate gearings. Default value = 1.0.</t>
  </si>
  <si>
    <t>floating rate index.</t>
  </si>
  <si>
    <t>Spreads</t>
  </si>
  <si>
    <t>floating rate spreads. Default value = 0.0.</t>
  </si>
  <si>
    <t>Caps</t>
  </si>
  <si>
    <t>cap strikes. Default value = std::vector&lt;QuantLib::Rate&gt;().</t>
  </si>
  <si>
    <t>Redemption value. Default value = 100.</t>
  </si>
  <si>
    <t>Float esempio CCT</t>
  </si>
  <si>
    <t>yield curve</t>
  </si>
  <si>
    <t>EUR SWAP 6M CCT Euro</t>
  </si>
  <si>
    <t>qlBondSetCouponPricer</t>
  </si>
  <si>
    <t>qlBondSetCouponPricer(</t>
  </si>
  <si>
    <t>string FloatingRateCouponPricer</t>
  </si>
  <si>
    <t>Set the coupon pricer at the given Bond object.</t>
  </si>
  <si>
    <t>id of existing QuantLibAddin::Bond object</t>
  </si>
  <si>
    <t>FloatingRateCouponPricer</t>
  </si>
  <si>
    <t>FloatingRate coupon pricer object ID.</t>
  </si>
  <si>
    <t>qlIborCouponPricer</t>
  </si>
  <si>
    <t>qlIborCouponPricer(</t>
  </si>
  <si>
    <t>string Volatility</t>
  </si>
  <si>
    <t>string IborCouponPricerType</t>
  </si>
  <si>
    <t>Construct an object of class IborCouponPricer and return its id</t>
  </si>
  <si>
    <t>Volatility</t>
  </si>
  <si>
    <t>Caplet Volatility Structure object ID.</t>
  </si>
  <si>
    <t>IborCouponPricerType</t>
  </si>
  <si>
    <t>Ibor Coupon Pricer Type (e.g IborByBlack, ..).</t>
  </si>
  <si>
    <t>qlCCTEU</t>
  </si>
  <si>
    <t>qlCCTEU(</t>
  </si>
  <si>
    <t>long MaturityDate</t>
  </si>
  <si>
    <t>double Spread</t>
  </si>
  <si>
    <t>string FwdCurve</t>
  </si>
  <si>
    <t>long StartDate</t>
  </si>
  <si>
    <t>Construct an object of class CCTEU and return its id</t>
  </si>
  <si>
    <t>C++, Excel</t>
  </si>
  <si>
    <t>Bond description string. Autogenerated if null. Default value = std::string().</t>
  </si>
  <si>
    <t>MaturityDate</t>
  </si>
  <si>
    <t>maturityDate date.</t>
  </si>
  <si>
    <t>spread over Euribor6M.</t>
  </si>
  <si>
    <t>FwdCurve</t>
  </si>
  <si>
    <t>Forwarding YieldTermStructure object ID.</t>
  </si>
  <si>
    <t>StartDate</t>
  </si>
  <si>
    <t>accrual first start date. Default value = QuantLib::Date().</t>
  </si>
  <si>
    <t>3.CCT€</t>
  </si>
  <si>
    <t>esempio CCT 1</t>
  </si>
  <si>
    <t>IborCouponPricer</t>
  </si>
  <si>
    <t>IborByBlack</t>
  </si>
  <si>
    <t>4. ConstantOptionletVol</t>
  </si>
  <si>
    <t>5. BondEngine</t>
  </si>
  <si>
    <t>6. IborCouponPricer</t>
  </si>
  <si>
    <t>7. AddIndexFixing</t>
  </si>
  <si>
    <t>Data Fixing</t>
  </si>
  <si>
    <t>Fixing</t>
  </si>
  <si>
    <t>8. Set Coupon Pricer</t>
  </si>
  <si>
    <t>9. Set Instrument Pricer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</si>
</sst>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_-* #,##0.00_-;\-* #,##0.00_-;_-* &quot;-&quot;??_-;_-@_-"/>
    <numFmt numFmtId="165" formatCode="_-* #,##0.00000_-;\-* #,##0.00000_-;_-* &quot;-&quot;??_-;_-@_-"/>
    <numFmt numFmtId="166" formatCode="0.00000000000"/>
    <numFmt numFmtId="167" formatCode="0.00000%"/>
    <numFmt numFmtId="168" formatCode="_-* #,##0.0000000000_-;\-* #,##0.0000000000_-;_-* &quot;-&quot;??_-;_-@_-"/>
    <numFmt numFmtId="169" formatCode="0.0000000%"/>
    <numFmt numFmtId="170" formatCode="0.000000000%"/>
    <numFmt numFmtId="171" formatCode="0.0000%"/>
    <numFmt numFmtId="172" formatCode="0.000000"/>
    <numFmt numFmtId="173" formatCode="0.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b/>
      <sz val="7.5"/>
      <color rgb="FF000000"/>
      <name val="Arial"/>
      <family val="2"/>
    </font>
    <font>
      <sz val="7.5"/>
      <color rgb="FF000000"/>
      <name val="Arial"/>
      <family val="2"/>
    </font>
    <font>
      <b/>
      <sz val="12"/>
      <name val="Courier New"/>
      <family val="3"/>
    </font>
    <font>
      <sz val="12"/>
      <name val="Courier New"/>
      <family val="3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006100"/>
      <name val="Calibri"/>
      <family val="2"/>
      <scheme val="minor"/>
    </font>
    <font>
      <i/>
      <sz val="8"/>
      <name val="Arial"/>
      <family val="2"/>
    </font>
    <font>
      <b/>
      <sz val="11"/>
      <color theme="0" tint="-4.9989318521683403E-2"/>
      <name val="Calibri"/>
      <family val="2"/>
      <scheme val="minor"/>
    </font>
    <font>
      <sz val="8"/>
      <color indexed="81"/>
      <name val="Tahoma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0"/>
      <name val="Arial"/>
      <family val="2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color indexed="10"/>
      <name val="Arial"/>
      <family val="2"/>
    </font>
    <font>
      <sz val="8"/>
      <color rgb="FFFF0000"/>
      <name val="Arial"/>
      <family val="2"/>
    </font>
  </fonts>
  <fills count="2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indexed="65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 applyNumberFormat="0" applyFont="0" applyFill="0" applyAlignment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9" fontId="1" fillId="0" borderId="0" applyFont="0" applyFill="0" applyBorder="0" applyAlignment="0" applyProtection="0"/>
    <xf numFmtId="0" fontId="13" fillId="7" borderId="0" applyNumberFormat="0" applyBorder="0" applyAlignment="0" applyProtection="0"/>
  </cellStyleXfs>
  <cellXfs count="10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right" wrapText="1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right"/>
    </xf>
    <xf numFmtId="14" fontId="5" fillId="3" borderId="1" xfId="0" applyNumberFormat="1" applyFont="1" applyFill="1" applyBorder="1" applyAlignment="1">
      <alignment horizontal="center" wrapText="1"/>
    </xf>
    <xf numFmtId="14" fontId="6" fillId="4" borderId="1" xfId="0" applyNumberFormat="1" applyFont="1" applyFill="1" applyBorder="1"/>
    <xf numFmtId="0" fontId="6" fillId="4" borderId="1" xfId="0" applyFont="1" applyFill="1" applyBorder="1" applyAlignment="1">
      <alignment horizontal="right"/>
    </xf>
    <xf numFmtId="0" fontId="6" fillId="4" borderId="1" xfId="0" applyFont="1" applyFill="1" applyBorder="1"/>
    <xf numFmtId="0" fontId="0" fillId="5" borderId="0" xfId="0" applyFill="1"/>
    <xf numFmtId="14" fontId="0" fillId="0" borderId="0" xfId="0" applyNumberFormat="1"/>
    <xf numFmtId="0" fontId="0" fillId="0" borderId="2" xfId="0" applyBorder="1"/>
    <xf numFmtId="14" fontId="0" fillId="5" borderId="2" xfId="0" applyNumberFormat="1" applyFill="1" applyBorder="1"/>
    <xf numFmtId="0" fontId="3" fillId="0" borderId="0" xfId="0" applyFont="1"/>
    <xf numFmtId="0" fontId="0" fillId="0" borderId="0" xfId="0" applyAlignment="1">
      <alignment vertical="center" wrapText="1"/>
    </xf>
    <xf numFmtId="0" fontId="2" fillId="2" borderId="2" xfId="2" applyBorder="1"/>
    <xf numFmtId="165" fontId="0" fillId="0" borderId="0" xfId="1" applyNumberFormat="1" applyFont="1"/>
    <xf numFmtId="0" fontId="2" fillId="2" borderId="3" xfId="2" applyBorder="1"/>
    <xf numFmtId="14" fontId="0" fillId="0" borderId="2" xfId="0" applyNumberFormat="1" applyBorder="1"/>
    <xf numFmtId="166" fontId="0" fillId="0" borderId="2" xfId="0" applyNumberFormat="1" applyBorder="1"/>
    <xf numFmtId="167" fontId="0" fillId="0" borderId="0" xfId="3" applyNumberFormat="1" applyFont="1"/>
    <xf numFmtId="0" fontId="9" fillId="0" borderId="0" xfId="0" applyFont="1"/>
    <xf numFmtId="0" fontId="10" fillId="0" borderId="2" xfId="0" applyFont="1" applyBorder="1" applyAlignment="1">
      <alignment horizontal="center"/>
    </xf>
    <xf numFmtId="0" fontId="11" fillId="6" borderId="0" xfId="0" applyFont="1" applyFill="1"/>
    <xf numFmtId="0" fontId="11" fillId="6" borderId="2" xfId="2" applyFont="1" applyFill="1" applyBorder="1"/>
    <xf numFmtId="0" fontId="12" fillId="6" borderId="2" xfId="0" applyFont="1" applyFill="1" applyBorder="1"/>
    <xf numFmtId="168" fontId="0" fillId="5" borderId="0" xfId="1" applyNumberFormat="1" applyFont="1" applyFill="1"/>
    <xf numFmtId="0" fontId="0" fillId="5" borderId="2" xfId="0" applyFill="1" applyBorder="1"/>
    <xf numFmtId="0" fontId="2" fillId="2" borderId="4" xfId="2" applyBorder="1"/>
    <xf numFmtId="166" fontId="0" fillId="5" borderId="2" xfId="0" applyNumberFormat="1" applyFill="1" applyBorder="1"/>
    <xf numFmtId="169" fontId="0" fillId="0" borderId="0" xfId="3" applyNumberFormat="1" applyFont="1"/>
    <xf numFmtId="0" fontId="11" fillId="6" borderId="3" xfId="2" applyFont="1" applyFill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Fill="1" applyBorder="1"/>
    <xf numFmtId="0" fontId="8" fillId="0" borderId="8" xfId="0" applyFont="1" applyBorder="1"/>
    <xf numFmtId="0" fontId="8" fillId="0" borderId="3" xfId="0" applyFont="1" applyBorder="1"/>
    <xf numFmtId="14" fontId="8" fillId="0" borderId="3" xfId="0" applyNumberFormat="1" applyFont="1" applyBorder="1"/>
    <xf numFmtId="0" fontId="8" fillId="0" borderId="9" xfId="0" applyFont="1" applyFill="1" applyBorder="1"/>
    <xf numFmtId="169" fontId="0" fillId="0" borderId="2" xfId="3" applyNumberFormat="1" applyFont="1" applyBorder="1"/>
    <xf numFmtId="0" fontId="3" fillId="5" borderId="2" xfId="0" applyFont="1" applyFill="1" applyBorder="1" applyAlignment="1">
      <alignment horizontal="center"/>
    </xf>
    <xf numFmtId="0" fontId="3" fillId="0" borderId="2" xfId="0" applyFont="1" applyBorder="1"/>
    <xf numFmtId="167" fontId="0" fillId="0" borderId="2" xfId="3" applyNumberFormat="1" applyFont="1" applyBorder="1"/>
    <xf numFmtId="14" fontId="4" fillId="3" borderId="1" xfId="0" applyNumberFormat="1" applyFont="1" applyFill="1" applyBorder="1" applyAlignment="1">
      <alignment horizontal="center" wrapText="1"/>
    </xf>
    <xf numFmtId="170" fontId="4" fillId="3" borderId="1" xfId="0" applyNumberFormat="1" applyFont="1" applyFill="1" applyBorder="1" applyAlignment="1">
      <alignment horizontal="center" wrapText="1"/>
    </xf>
    <xf numFmtId="170" fontId="6" fillId="4" borderId="1" xfId="3" applyNumberFormat="1" applyFont="1" applyFill="1" applyBorder="1" applyAlignment="1">
      <alignment horizontal="right"/>
    </xf>
    <xf numFmtId="0" fontId="4" fillId="5" borderId="1" xfId="0" applyFont="1" applyFill="1" applyBorder="1" applyAlignment="1">
      <alignment horizontal="right" wrapText="1"/>
    </xf>
    <xf numFmtId="0" fontId="6" fillId="5" borderId="1" xfId="0" applyFont="1" applyFill="1" applyBorder="1" applyAlignment="1">
      <alignment horizontal="right"/>
    </xf>
    <xf numFmtId="0" fontId="0" fillId="0" borderId="0" xfId="0" applyFill="1" applyBorder="1"/>
    <xf numFmtId="0" fontId="0" fillId="6" borderId="0" xfId="0" applyFill="1"/>
    <xf numFmtId="167" fontId="0" fillId="6" borderId="0" xfId="3" applyNumberFormat="1" applyFont="1" applyFill="1"/>
    <xf numFmtId="0" fontId="3" fillId="0" borderId="2" xfId="0" applyFont="1" applyBorder="1" applyAlignment="1">
      <alignment horizontal="center"/>
    </xf>
    <xf numFmtId="165" fontId="3" fillId="0" borderId="2" xfId="1" applyNumberFormat="1" applyFont="1" applyBorder="1" applyAlignment="1">
      <alignment horizontal="center"/>
    </xf>
    <xf numFmtId="9" fontId="0" fillId="0" borderId="0" xfId="0" applyNumberFormat="1"/>
    <xf numFmtId="0" fontId="14" fillId="7" borderId="2" xfId="4" applyFont="1" applyBorder="1"/>
    <xf numFmtId="168" fontId="0" fillId="0" borderId="2" xfId="1" applyNumberFormat="1" applyFont="1" applyBorder="1"/>
    <xf numFmtId="168" fontId="0" fillId="0" borderId="0" xfId="1" applyNumberFormat="1" applyFont="1"/>
    <xf numFmtId="0" fontId="0" fillId="0" borderId="11" xfId="0" applyFill="1" applyBorder="1"/>
    <xf numFmtId="0" fontId="4" fillId="3" borderId="12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171" fontId="0" fillId="0" borderId="0" xfId="3" applyNumberFormat="1" applyFont="1"/>
    <xf numFmtId="0" fontId="15" fillId="0" borderId="0" xfId="0" applyFont="1"/>
    <xf numFmtId="0" fontId="0" fillId="8" borderId="2" xfId="0" applyFill="1" applyBorder="1"/>
    <xf numFmtId="0" fontId="15" fillId="0" borderId="2" xfId="0" applyFont="1" applyBorder="1"/>
    <xf numFmtId="0" fontId="3" fillId="10" borderId="0" xfId="0" applyFont="1" applyFill="1"/>
    <xf numFmtId="0" fontId="3" fillId="6" borderId="0" xfId="0" applyFont="1" applyFill="1" applyBorder="1"/>
    <xf numFmtId="0" fontId="3" fillId="9" borderId="2" xfId="0" applyFont="1" applyFill="1" applyBorder="1"/>
    <xf numFmtId="171" fontId="0" fillId="0" borderId="2" xfId="3" applyNumberFormat="1" applyFont="1" applyBorder="1"/>
    <xf numFmtId="0" fontId="10" fillId="10" borderId="2" xfId="0" applyFont="1" applyFill="1" applyBorder="1"/>
    <xf numFmtId="0" fontId="0" fillId="10" borderId="2" xfId="0" applyFill="1" applyBorder="1"/>
    <xf numFmtId="0" fontId="0" fillId="11" borderId="2" xfId="0" applyFill="1" applyBorder="1"/>
    <xf numFmtId="0" fontId="3" fillId="11" borderId="2" xfId="0" applyFont="1" applyFill="1" applyBorder="1"/>
    <xf numFmtId="0" fontId="3" fillId="5" borderId="0" xfId="0" applyFont="1" applyFill="1" applyAlignment="1">
      <alignment horizontal="center"/>
    </xf>
    <xf numFmtId="10" fontId="0" fillId="0" borderId="0" xfId="0" applyNumberFormat="1"/>
    <xf numFmtId="0" fontId="3" fillId="13" borderId="0" xfId="0" applyFont="1" applyFill="1" applyAlignment="1">
      <alignment horizontal="center"/>
    </xf>
    <xf numFmtId="0" fontId="3" fillId="12" borderId="0" xfId="0" applyFont="1" applyFill="1" applyAlignment="1">
      <alignment horizontal="center"/>
    </xf>
    <xf numFmtId="0" fontId="3" fillId="15" borderId="0" xfId="0" applyFont="1" applyFill="1" applyAlignment="1">
      <alignment horizontal="center"/>
    </xf>
    <xf numFmtId="0" fontId="16" fillId="14" borderId="0" xfId="0" applyFont="1" applyFill="1" applyAlignment="1">
      <alignment horizontal="center"/>
    </xf>
    <xf numFmtId="172" fontId="0" fillId="0" borderId="0" xfId="0" applyNumberFormat="1"/>
    <xf numFmtId="164" fontId="0" fillId="0" borderId="0" xfId="1" applyFont="1"/>
    <xf numFmtId="164" fontId="0" fillId="0" borderId="0" xfId="0" applyNumberFormat="1"/>
    <xf numFmtId="0" fontId="3" fillId="16" borderId="0" xfId="0" applyFont="1" applyFill="1" applyAlignment="1">
      <alignment horizontal="center"/>
    </xf>
    <xf numFmtId="0" fontId="0" fillId="16" borderId="0" xfId="0" applyFill="1"/>
    <xf numFmtId="0" fontId="18" fillId="17" borderId="2" xfId="0" applyFont="1" applyFill="1" applyBorder="1" applyAlignment="1">
      <alignment horizontal="right"/>
    </xf>
    <xf numFmtId="0" fontId="19" fillId="18" borderId="2" xfId="0" applyFont="1" applyFill="1" applyBorder="1" applyAlignment="1">
      <alignment horizontal="center"/>
    </xf>
    <xf numFmtId="0" fontId="20" fillId="18" borderId="2" xfId="0" applyFont="1" applyFill="1" applyBorder="1" applyAlignment="1">
      <alignment horizontal="center"/>
    </xf>
    <xf numFmtId="0" fontId="19" fillId="19" borderId="2" xfId="0" applyFont="1" applyFill="1" applyBorder="1" applyAlignment="1">
      <alignment horizontal="center"/>
    </xf>
    <xf numFmtId="10" fontId="19" fillId="19" borderId="2" xfId="0" applyNumberFormat="1" applyFont="1" applyFill="1" applyBorder="1" applyAlignment="1">
      <alignment horizontal="center"/>
    </xf>
    <xf numFmtId="0" fontId="20" fillId="18" borderId="13" xfId="0" applyFont="1" applyFill="1" applyBorder="1" applyAlignment="1">
      <alignment horizontal="center"/>
    </xf>
    <xf numFmtId="0" fontId="3" fillId="20" borderId="2" xfId="0" applyFont="1" applyFill="1" applyBorder="1"/>
    <xf numFmtId="0" fontId="21" fillId="17" borderId="2" xfId="0" applyFont="1" applyFill="1" applyBorder="1" applyAlignment="1">
      <alignment horizontal="right"/>
    </xf>
    <xf numFmtId="0" fontId="22" fillId="0" borderId="2" xfId="0" applyFont="1" applyBorder="1"/>
    <xf numFmtId="0" fontId="21" fillId="18" borderId="2" xfId="0" applyFont="1" applyFill="1" applyBorder="1" applyAlignment="1">
      <alignment horizontal="center"/>
    </xf>
    <xf numFmtId="0" fontId="23" fillId="18" borderId="2" xfId="0" applyFont="1" applyFill="1" applyBorder="1" applyAlignment="1">
      <alignment horizontal="center"/>
    </xf>
    <xf numFmtId="0" fontId="21" fillId="19" borderId="2" xfId="0" applyFont="1" applyFill="1" applyBorder="1" applyAlignment="1">
      <alignment horizontal="center"/>
    </xf>
    <xf numFmtId="14" fontId="22" fillId="0" borderId="2" xfId="0" applyNumberFormat="1" applyFont="1" applyBorder="1"/>
    <xf numFmtId="10" fontId="22" fillId="0" borderId="2" xfId="0" applyNumberFormat="1" applyFont="1" applyBorder="1"/>
    <xf numFmtId="0" fontId="21" fillId="17" borderId="11" xfId="0" applyFont="1" applyFill="1" applyBorder="1" applyAlignment="1">
      <alignment horizontal="right"/>
    </xf>
    <xf numFmtId="0" fontId="3" fillId="6" borderId="10" xfId="0" applyFont="1" applyFill="1" applyBorder="1" applyAlignment="1">
      <alignment horizontal="center"/>
    </xf>
    <xf numFmtId="0" fontId="0" fillId="0" borderId="0" xfId="0" applyAlignment="1">
      <alignment horizontal="center"/>
    </xf>
    <xf numFmtId="173" fontId="24" fillId="5" borderId="0" xfId="0" applyNumberFormat="1" applyFont="1" applyFill="1" applyBorder="1" applyAlignment="1" applyProtection="1">
      <protection locked="0"/>
    </xf>
  </cellXfs>
  <cellStyles count="5">
    <cellStyle name="Migliaia" xfId="1" builtinId="3"/>
    <cellStyle name="Normale" xfId="0" builtinId="0" customBuiltin="1"/>
    <cellStyle name="Percentuale" xfId="3" builtinId="5"/>
    <cellStyle name="Valore non valido" xfId="2" builtinId="27"/>
    <cellStyle name="Valore valido" xfId="4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'9.Curve'!$B$3:$B$40</c:f>
              <c:numCache>
                <c:formatCode>0.00000000000</c:formatCode>
                <c:ptCount val="38"/>
                <c:pt idx="0">
                  <c:v>1</c:v>
                </c:pt>
                <c:pt idx="1">
                  <c:v>1.0000233338777904</c:v>
                </c:pt>
                <c:pt idx="2">
                  <c:v>1.0000684491293736</c:v>
                </c:pt>
                <c:pt idx="3">
                  <c:v>1.0001372966255564</c:v>
                </c:pt>
                <c:pt idx="4">
                  <c:v>1.0002065426510642</c:v>
                </c:pt>
                <c:pt idx="5">
                  <c:v>1.0003049262850292</c:v>
                </c:pt>
                <c:pt idx="6">
                  <c:v>1.0005788626658958</c:v>
                </c:pt>
                <c:pt idx="7">
                  <c:v>1.000902925650375</c:v>
                </c:pt>
                <c:pt idx="8">
                  <c:v>1.0012011075954119</c:v>
                </c:pt>
                <c:pt idx="9">
                  <c:v>1.0015025041317125</c:v>
                </c:pt>
                <c:pt idx="10">
                  <c:v>1.0018074833238082</c:v>
                </c:pt>
                <c:pt idx="11">
                  <c:v>1.0020988961379609</c:v>
                </c:pt>
                <c:pt idx="12">
                  <c:v>1.0024149847674824</c:v>
                </c:pt>
                <c:pt idx="13">
                  <c:v>1.0027114990119252</c:v>
                </c:pt>
                <c:pt idx="14">
                  <c:v>1.0029982962402428</c:v>
                </c:pt>
                <c:pt idx="15">
                  <c:v>1.0033248513365487</c:v>
                </c:pt>
                <c:pt idx="16">
                  <c:v>1.0036020951866607</c:v>
                </c:pt>
                <c:pt idx="17">
                  <c:v>1.0044724763495174</c:v>
                </c:pt>
                <c:pt idx="18">
                  <c:v>1.0053290174602778</c:v>
                </c:pt>
                <c:pt idx="19">
                  <c:v>1.0061261869477567</c:v>
                </c:pt>
                <c:pt idx="20">
                  <c:v>1.0068693901403518</c:v>
                </c:pt>
                <c:pt idx="21">
                  <c:v>1.009123370345876</c:v>
                </c:pt>
                <c:pt idx="22">
                  <c:v>1.0096344315855161</c:v>
                </c:pt>
                <c:pt idx="23">
                  <c:v>1.0076644663106404</c:v>
                </c:pt>
                <c:pt idx="24">
                  <c:v>1.0026955570801963</c:v>
                </c:pt>
                <c:pt idx="25">
                  <c:v>0.99457556238603284</c:v>
                </c:pt>
                <c:pt idx="26">
                  <c:v>0.98356801388041359</c:v>
                </c:pt>
                <c:pt idx="27">
                  <c:v>0.97046450332302481</c:v>
                </c:pt>
                <c:pt idx="28">
                  <c:v>0.95573891253518695</c:v>
                </c:pt>
                <c:pt idx="29">
                  <c:v>0.93981590629116718</c:v>
                </c:pt>
                <c:pt idx="30">
                  <c:v>0.92357173364707856</c:v>
                </c:pt>
                <c:pt idx="31">
                  <c:v>0.87486913045394488</c:v>
                </c:pt>
                <c:pt idx="32">
                  <c:v>0.80227383438302668</c:v>
                </c:pt>
                <c:pt idx="33">
                  <c:v>0.74312658277693899</c:v>
                </c:pt>
                <c:pt idx="34">
                  <c:v>0.69287927839767771</c:v>
                </c:pt>
                <c:pt idx="35">
                  <c:v>0.61030838078649063</c:v>
                </c:pt>
                <c:pt idx="36">
                  <c:v>0.55518846296200541</c:v>
                </c:pt>
                <c:pt idx="37">
                  <c:v>0.50543262986960902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val>
            <c:numRef>
              <c:f>'9.Curve'!$C$3:$C$40</c:f>
              <c:numCache>
                <c:formatCode>0.00000000000</c:formatCode>
                <c:ptCount val="38"/>
                <c:pt idx="0">
                  <c:v>1.0000111110000001</c:v>
                </c:pt>
                <c:pt idx="1">
                  <c:v>#N/A</c:v>
                </c:pt>
                <c:pt idx="2">
                  <c:v>1.000068449</c:v>
                </c:pt>
                <c:pt idx="3">
                  <c:v>1.000137297</c:v>
                </c:pt>
                <c:pt idx="4">
                  <c:v>1.000206543</c:v>
                </c:pt>
                <c:pt idx="5">
                  <c:v>1.0003049260000001</c:v>
                </c:pt>
                <c:pt idx="6">
                  <c:v>1.0005788630000001</c:v>
                </c:pt>
                <c:pt idx="7">
                  <c:v>1.000902926</c:v>
                </c:pt>
                <c:pt idx="8">
                  <c:v>1.0012011080000001</c:v>
                </c:pt>
                <c:pt idx="9">
                  <c:v>1.0015025040000001</c:v>
                </c:pt>
                <c:pt idx="10">
                  <c:v>1.0018074830000001</c:v>
                </c:pt>
                <c:pt idx="11">
                  <c:v>1.0020988959999999</c:v>
                </c:pt>
                <c:pt idx="12">
                  <c:v>1.0024149849999999</c:v>
                </c:pt>
                <c:pt idx="13">
                  <c:v>1.0027114989999999</c:v>
                </c:pt>
                <c:pt idx="14">
                  <c:v>1.0029982959999999</c:v>
                </c:pt>
                <c:pt idx="15">
                  <c:v>1.0033248509999999</c:v>
                </c:pt>
                <c:pt idx="16">
                  <c:v>1.003602095</c:v>
                </c:pt>
                <c:pt idx="17">
                  <c:v>1.0044725809999999</c:v>
                </c:pt>
                <c:pt idx="18">
                  <c:v>1.0053291879999999</c:v>
                </c:pt>
                <c:pt idx="19">
                  <c:v>1.006126356</c:v>
                </c:pt>
                <c:pt idx="20">
                  <c:v>1.0068693900000001</c:v>
                </c:pt>
                <c:pt idx="21">
                  <c:v>1.00912337</c:v>
                </c:pt>
                <c:pt idx="22">
                  <c:v>1.0096344319999999</c:v>
                </c:pt>
                <c:pt idx="23">
                  <c:v>1.007664466</c:v>
                </c:pt>
                <c:pt idx="24">
                  <c:v>1.002695557</c:v>
                </c:pt>
                <c:pt idx="25">
                  <c:v>0.99457556199999997</c:v>
                </c:pt>
                <c:pt idx="26">
                  <c:v>0.98356801400000005</c:v>
                </c:pt>
                <c:pt idx="27">
                  <c:v>0.97046450299999998</c:v>
                </c:pt>
                <c:pt idx="28">
                  <c:v>0.95573891300000002</c:v>
                </c:pt>
                <c:pt idx="29">
                  <c:v>0.93981590599999998</c:v>
                </c:pt>
                <c:pt idx="30">
                  <c:v>0.92357173400000003</c:v>
                </c:pt>
                <c:pt idx="31">
                  <c:v>0.87484442399999995</c:v>
                </c:pt>
                <c:pt idx="32">
                  <c:v>0.80216623300000001</c:v>
                </c:pt>
                <c:pt idx="33">
                  <c:v>0.74298346100000001</c:v>
                </c:pt>
                <c:pt idx="34">
                  <c:v>0.69272529400000005</c:v>
                </c:pt>
                <c:pt idx="35">
                  <c:v>0.61013978800000002</c:v>
                </c:pt>
                <c:pt idx="36">
                  <c:v>0.55509332099999997</c:v>
                </c:pt>
                <c:pt idx="37">
                  <c:v>0.50538285999999999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759872"/>
        <c:axId val="39761408"/>
      </c:lineChart>
      <c:catAx>
        <c:axId val="39759872"/>
        <c:scaling>
          <c:orientation val="minMax"/>
        </c:scaling>
        <c:delete val="0"/>
        <c:axPos val="b"/>
        <c:majorTickMark val="out"/>
        <c:minorTickMark val="none"/>
        <c:tickLblPos val="nextTo"/>
        <c:crossAx val="39761408"/>
        <c:crosses val="autoZero"/>
        <c:auto val="1"/>
        <c:lblAlgn val="ctr"/>
        <c:lblOffset val="100"/>
        <c:noMultiLvlLbl val="0"/>
      </c:catAx>
      <c:valAx>
        <c:axId val="39761408"/>
        <c:scaling>
          <c:orientation val="minMax"/>
        </c:scaling>
        <c:delete val="0"/>
        <c:axPos val="l"/>
        <c:majorGridlines/>
        <c:numFmt formatCode="0.00000000000" sourceLinked="1"/>
        <c:majorTickMark val="out"/>
        <c:minorTickMark val="none"/>
        <c:tickLblPos val="nextTo"/>
        <c:crossAx val="39759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'9.Curve'!$G$4:$G$40</c:f>
              <c:numCache>
                <c:formatCode>_-* #,##0.0000000000_-;\-* #,##0.0000000000_-;_-* "-"??_-;_-@_-</c:formatCode>
                <c:ptCount val="37"/>
                <c:pt idx="0">
                  <c:v>1.0012179259837413</c:v>
                </c:pt>
                <c:pt idx="1">
                  <c:v>1.0016678745194332</c:v>
                </c:pt>
                <c:pt idx="2">
                  <c:v>1.0021147630236156</c:v>
                </c:pt>
                <c:pt idx="3">
                  <c:v>1.0027810553248202</c:v>
                </c:pt>
                <c:pt idx="4">
                  <c:v>1.0031744669115941</c:v>
                </c:pt>
                <c:pt idx="5">
                  <c:v>1.002775093292966</c:v>
                </c:pt>
                <c:pt idx="6">
                  <c:v>1.0002999571266871</c:v>
                </c:pt>
                <c:pt idx="7">
                  <c:v>0.99514284906770856</c:v>
                </c:pt>
                <c:pt idx="8">
                  <c:v>0.98750794970956224</c:v>
                </c:pt>
                <c:pt idx="9">
                  <c:v>0.97722524105185626</c:v>
                </c:pt>
                <c:pt idx="10">
                  <c:v>0.96445423938039454</c:v>
                </c:pt>
                <c:pt idx="11">
                  <c:v>0.94988542843728851</c:v>
                </c:pt>
                <c:pt idx="12">
                  <c:v>0.93409802506350226</c:v>
                </c:pt>
                <c:pt idx="13">
                  <c:v>0.91734000687862749</c:v>
                </c:pt>
                <c:pt idx="14">
                  <c:v>0.90034319521593864</c:v>
                </c:pt>
                <c:pt idx="15">
                  <c:v>0.88331444458260511</c:v>
                </c:pt>
                <c:pt idx="16">
                  <c:v>0.86657849858349134</c:v>
                </c:pt>
                <c:pt idx="17">
                  <c:v>0.85033040793412973</c:v>
                </c:pt>
                <c:pt idx="18">
                  <c:v>0.83447402436214524</c:v>
                </c:pt>
                <c:pt idx="19">
                  <c:v>0.81929695420711068</c:v>
                </c:pt>
                <c:pt idx="20">
                  <c:v>0.80481169706881495</c:v>
                </c:pt>
                <c:pt idx="21">
                  <c:v>0.79101668918836454</c:v>
                </c:pt>
                <c:pt idx="22">
                  <c:v>0.7779004697610149</c:v>
                </c:pt>
                <c:pt idx="23">
                  <c:v>0.76536509337599723</c:v>
                </c:pt>
                <c:pt idx="24">
                  <c:v>0.75304006780068766</c:v>
                </c:pt>
                <c:pt idx="25">
                  <c:v>0.74150181413592575</c:v>
                </c:pt>
                <c:pt idx="26">
                  <c:v>0.73015587255063097</c:v>
                </c:pt>
                <c:pt idx="27">
                  <c:v>0.71945455736313302</c:v>
                </c:pt>
                <c:pt idx="28">
                  <c:v>0.70903464870625355</c:v>
                </c:pt>
                <c:pt idx="29">
                  <c:v>0.69881888446946805</c:v>
                </c:pt>
                <c:pt idx="30">
                  <c:v>0.68897508175039746</c:v>
                </c:pt>
                <c:pt idx="31">
                  <c:v>0.67942129562593523</c:v>
                </c:pt>
                <c:pt idx="32">
                  <c:v>0.6701992170891744</c:v>
                </c:pt>
                <c:pt idx="33">
                  <c:v>0.62682195829203169</c:v>
                </c:pt>
                <c:pt idx="34">
                  <c:v>0.58920032368474273</c:v>
                </c:pt>
                <c:pt idx="35">
                  <c:v>0.53524273757747676</c:v>
                </c:pt>
                <c:pt idx="36">
                  <c:v>0.48640985694068539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val>
            <c:numRef>
              <c:f>'9.Curve'!$H$4:$H$40</c:f>
              <c:numCache>
                <c:formatCode>_-* #,##0.0000000000_-;\-* #,##0.0000000000_-;_-* "-"??_-;_-@_-</c:formatCode>
                <c:ptCount val="37"/>
                <c:pt idx="0">
                  <c:v>1.001212956</c:v>
                </c:pt>
                <c:pt idx="1">
                  <c:v>1.001665346</c:v>
                </c:pt>
                <c:pt idx="2">
                  <c:v>1.002109742</c:v>
                </c:pt>
                <c:pt idx="3">
                  <c:v>1.0027716799999999</c:v>
                </c:pt>
                <c:pt idx="4">
                  <c:v>1.0031650889999999</c:v>
                </c:pt>
                <c:pt idx="5">
                  <c:v>1.0027750719999999</c:v>
                </c:pt>
                <c:pt idx="6">
                  <c:v>1.000300129</c:v>
                </c:pt>
                <c:pt idx="7">
                  <c:v>0.99514358800000002</c:v>
                </c:pt>
                <c:pt idx="8">
                  <c:v>0.98750970299999996</c:v>
                </c:pt>
                <c:pt idx="9">
                  <c:v>#N/A</c:v>
                </c:pt>
                <c:pt idx="10">
                  <c:v>0.96445952599999996</c:v>
                </c:pt>
                <c:pt idx="11">
                  <c:v>0.94989288900000002</c:v>
                </c:pt>
                <c:pt idx="12">
                  <c:v>0.93410769199999999</c:v>
                </c:pt>
                <c:pt idx="13">
                  <c:v>#N/A</c:v>
                </c:pt>
                <c:pt idx="14">
                  <c:v>0.90035686400000003</c:v>
                </c:pt>
                <c:pt idx="15">
                  <c:v>0.88333648600000003</c:v>
                </c:pt>
                <c:pt idx="16">
                  <c:v>0.86661348000000005</c:v>
                </c:pt>
                <c:pt idx="17">
                  <c:v>0.85037110299999996</c:v>
                </c:pt>
                <c:pt idx="18">
                  <c:v>0.83451795299999998</c:v>
                </c:pt>
                <c:pt idx="19">
                  <c:v>0.81935107399999996</c:v>
                </c:pt>
                <c:pt idx="20">
                  <c:v>0.80487672399999999</c:v>
                </c:pt>
                <c:pt idx="21">
                  <c:v>#N/A</c:v>
                </c:pt>
                <c:pt idx="22">
                  <c:v>0.77797636100000001</c:v>
                </c:pt>
                <c:pt idx="23">
                  <c:v>0.76543790499999997</c:v>
                </c:pt>
                <c:pt idx="24">
                  <c:v>0.75311209499999998</c:v>
                </c:pt>
                <c:pt idx="25">
                  <c:v>#N/A</c:v>
                </c:pt>
                <c:pt idx="26">
                  <c:v>0.73022832000000004</c:v>
                </c:pt>
                <c:pt idx="27">
                  <c:v>0.71952716800000005</c:v>
                </c:pt>
                <c:pt idx="28">
                  <c:v>0.70910487600000005</c:v>
                </c:pt>
                <c:pt idx="29">
                  <c:v>0.69888750799999999</c:v>
                </c:pt>
                <c:pt idx="30">
                  <c:v>0.68904264199999998</c:v>
                </c:pt>
                <c:pt idx="31">
                  <c:v>0.67948816400000001</c:v>
                </c:pt>
                <c:pt idx="32">
                  <c:v>0.67026573700000003</c:v>
                </c:pt>
                <c:pt idx="33">
                  <c:v>#N/A</c:v>
                </c:pt>
                <c:pt idx="34">
                  <c:v>0.58925921599999997</c:v>
                </c:pt>
                <c:pt idx="35">
                  <c:v>0.53531781099999998</c:v>
                </c:pt>
                <c:pt idx="36">
                  <c:v>0.48648933500000002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775232"/>
        <c:axId val="41251584"/>
      </c:lineChart>
      <c:catAx>
        <c:axId val="39775232"/>
        <c:scaling>
          <c:orientation val="minMax"/>
        </c:scaling>
        <c:delete val="0"/>
        <c:axPos val="b"/>
        <c:majorTickMark val="out"/>
        <c:minorTickMark val="none"/>
        <c:tickLblPos val="nextTo"/>
        <c:crossAx val="41251584"/>
        <c:crosses val="autoZero"/>
        <c:auto val="1"/>
        <c:lblAlgn val="ctr"/>
        <c:lblOffset val="100"/>
        <c:noMultiLvlLbl val="0"/>
      </c:catAx>
      <c:valAx>
        <c:axId val="41251584"/>
        <c:scaling>
          <c:orientation val="minMax"/>
        </c:scaling>
        <c:delete val="0"/>
        <c:axPos val="l"/>
        <c:majorGridlines/>
        <c:numFmt formatCode="_-* #,##0.0000000000_-;\-* #,##0.0000000000_-;_-* &quot;-&quot;??_-;_-@_-" sourceLinked="1"/>
        <c:majorTickMark val="out"/>
        <c:minorTickMark val="none"/>
        <c:tickLblPos val="nextTo"/>
        <c:crossAx val="397752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'9.Curve'!$L$4:$L$26</c:f>
              <c:numCache>
                <c:formatCode>General</c:formatCode>
                <c:ptCount val="23"/>
                <c:pt idx="0">
                  <c:v>1.0019349999999998</c:v>
                </c:pt>
                <c:pt idx="1">
                  <c:v>0.9969740376789461</c:v>
                </c:pt>
                <c:pt idx="2">
                  <c:v>0.97982826141507096</c:v>
                </c:pt>
                <c:pt idx="3">
                  <c:v>0.95105113970517363</c:v>
                </c:pt>
                <c:pt idx="4">
                  <c:v>0.94212504537996344</c:v>
                </c:pt>
                <c:pt idx="5">
                  <c:v>0.93208235054751143</c:v>
                </c:pt>
                <c:pt idx="6">
                  <c:v>0.90544197249702196</c:v>
                </c:pt>
                <c:pt idx="7">
                  <c:v>0.9010341073700644</c:v>
                </c:pt>
                <c:pt idx="8">
                  <c:v>0.87653491548086815</c:v>
                </c:pt>
                <c:pt idx="9">
                  <c:v>0.86226494830159628</c:v>
                </c:pt>
                <c:pt idx="10">
                  <c:v>0.84645448223895314</c:v>
                </c:pt>
                <c:pt idx="11">
                  <c:v>0.83082153148316018</c:v>
                </c:pt>
                <c:pt idx="12">
                  <c:v>0.81360392605203435</c:v>
                </c:pt>
                <c:pt idx="13">
                  <c:v>0.80768658156056516</c:v>
                </c:pt>
                <c:pt idx="14">
                  <c:v>0.73436318864098971</c:v>
                </c:pt>
                <c:pt idx="15">
                  <c:v>0.70546136562044692</c:v>
                </c:pt>
                <c:pt idx="16">
                  <c:v>0.68339763218176353</c:v>
                </c:pt>
                <c:pt idx="17">
                  <c:v>0.58230394277975084</c:v>
                </c:pt>
                <c:pt idx="18">
                  <c:v>0.57174716421727356</c:v>
                </c:pt>
                <c:pt idx="19">
                  <c:v>0.42096313748835767</c:v>
                </c:pt>
                <c:pt idx="20">
                  <c:v>0.35890454133613492</c:v>
                </c:pt>
                <c:pt idx="21">
                  <c:v>0.36360969159239848</c:v>
                </c:pt>
                <c:pt idx="22">
                  <c:v>0.36130589659445667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val>
            <c:numRef>
              <c:f>'9.Curve'!$M$4:$M$26</c:f>
              <c:numCache>
                <c:formatCode>General</c:formatCode>
                <c:ptCount val="23"/>
                <c:pt idx="0">
                  <c:v>1.00196204</c:v>
                </c:pt>
                <c:pt idx="1">
                  <c:v>0.99717289399999998</c:v>
                </c:pt>
                <c:pt idx="2">
                  <c:v>0.97991334799999996</c:v>
                </c:pt>
                <c:pt idx="3">
                  <c:v>0.95115499100000001</c:v>
                </c:pt>
                <c:pt idx="4">
                  <c:v>0.94237887300000001</c:v>
                </c:pt>
                <c:pt idx="5">
                  <c:v>0.932209493</c:v>
                </c:pt>
                <c:pt idx="6">
                  <c:v>0.90559470200000003</c:v>
                </c:pt>
                <c:pt idx="7">
                  <c:v>0.90105566599999998</c:v>
                </c:pt>
                <c:pt idx="8">
                  <c:v>0.87680894200000004</c:v>
                </c:pt>
                <c:pt idx="9">
                  <c:v>0.86265603800000001</c:v>
                </c:pt>
                <c:pt idx="10">
                  <c:v>0.84682259699999995</c:v>
                </c:pt>
                <c:pt idx="11">
                  <c:v>0.83090999700000001</c:v>
                </c:pt>
                <c:pt idx="12">
                  <c:v>0.81396514799999997</c:v>
                </c:pt>
                <c:pt idx="13">
                  <c:v>0.80774856299999997</c:v>
                </c:pt>
                <c:pt idx="14">
                  <c:v>0.73475000099999999</c:v>
                </c:pt>
                <c:pt idx="15">
                  <c:v>0.70562020000000003</c:v>
                </c:pt>
                <c:pt idx="16">
                  <c:v>0.68350745099999999</c:v>
                </c:pt>
                <c:pt idx="17">
                  <c:v>0.58249503899999999</c:v>
                </c:pt>
                <c:pt idx="18">
                  <c:v>0.57197957499999996</c:v>
                </c:pt>
                <c:pt idx="19">
                  <c:v>0.422204988</c:v>
                </c:pt>
                <c:pt idx="20">
                  <c:v>0.35986929899999998</c:v>
                </c:pt>
                <c:pt idx="21">
                  <c:v>0.36420364300000002</c:v>
                </c:pt>
                <c:pt idx="22">
                  <c:v>0.36176470399999999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1269120"/>
        <c:axId val="41270656"/>
      </c:lineChart>
      <c:catAx>
        <c:axId val="41269120"/>
        <c:scaling>
          <c:orientation val="minMax"/>
        </c:scaling>
        <c:delete val="0"/>
        <c:axPos val="b"/>
        <c:majorTickMark val="out"/>
        <c:minorTickMark val="none"/>
        <c:tickLblPos val="nextTo"/>
        <c:crossAx val="41270656"/>
        <c:crosses val="autoZero"/>
        <c:auto val="1"/>
        <c:lblAlgn val="ctr"/>
        <c:lblOffset val="100"/>
        <c:noMultiLvlLbl val="0"/>
      </c:catAx>
      <c:valAx>
        <c:axId val="41270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1269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200"/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Discount Factor</c:v>
          </c:tx>
          <c:marker>
            <c:symbol val="none"/>
          </c:marker>
          <c:xVal>
            <c:numRef>
              <c:f>'10.CurvaEonia'!$A$3:$A$81</c:f>
              <c:numCache>
                <c:formatCode>m/d/yyyy</c:formatCode>
                <c:ptCount val="79"/>
                <c:pt idx="0">
                  <c:v>42796</c:v>
                </c:pt>
                <c:pt idx="1">
                  <c:v>42801</c:v>
                </c:pt>
                <c:pt idx="2">
                  <c:v>42808</c:v>
                </c:pt>
                <c:pt idx="3">
                  <c:v>42815</c:v>
                </c:pt>
                <c:pt idx="4">
                  <c:v>42825</c:v>
                </c:pt>
                <c:pt idx="5">
                  <c:v>42853</c:v>
                </c:pt>
                <c:pt idx="6">
                  <c:v>42886</c:v>
                </c:pt>
                <c:pt idx="7">
                  <c:v>42916</c:v>
                </c:pt>
                <c:pt idx="8">
                  <c:v>42947</c:v>
                </c:pt>
                <c:pt idx="9">
                  <c:v>42978</c:v>
                </c:pt>
                <c:pt idx="10">
                  <c:v>43007</c:v>
                </c:pt>
                <c:pt idx="11">
                  <c:v>43039</c:v>
                </c:pt>
                <c:pt idx="12">
                  <c:v>43069</c:v>
                </c:pt>
                <c:pt idx="13">
                  <c:v>43098</c:v>
                </c:pt>
                <c:pt idx="14">
                  <c:v>43131</c:v>
                </c:pt>
                <c:pt idx="15">
                  <c:v>43159</c:v>
                </c:pt>
                <c:pt idx="16">
                  <c:v>43251</c:v>
                </c:pt>
                <c:pt idx="17">
                  <c:v>43343</c:v>
                </c:pt>
                <c:pt idx="18">
                  <c:v>43434</c:v>
                </c:pt>
                <c:pt idx="19">
                  <c:v>43524</c:v>
                </c:pt>
                <c:pt idx="20">
                  <c:v>43889</c:v>
                </c:pt>
                <c:pt idx="21">
                  <c:v>44253</c:v>
                </c:pt>
                <c:pt idx="22">
                  <c:v>44620</c:v>
                </c:pt>
                <c:pt idx="23">
                  <c:v>44985</c:v>
                </c:pt>
                <c:pt idx="24">
                  <c:v>45351</c:v>
                </c:pt>
                <c:pt idx="25">
                  <c:v>45716</c:v>
                </c:pt>
                <c:pt idx="26">
                  <c:v>46080</c:v>
                </c:pt>
                <c:pt idx="27">
                  <c:v>46444</c:v>
                </c:pt>
                <c:pt idx="28">
                  <c:v>46812</c:v>
                </c:pt>
                <c:pt idx="29">
                  <c:v>47177</c:v>
                </c:pt>
                <c:pt idx="30">
                  <c:v>48271</c:v>
                </c:pt>
                <c:pt idx="31">
                  <c:v>50098</c:v>
                </c:pt>
                <c:pt idx="32">
                  <c:v>51925</c:v>
                </c:pt>
                <c:pt idx="33">
                  <c:v>53751</c:v>
                </c:pt>
                <c:pt idx="34">
                  <c:v>57404</c:v>
                </c:pt>
                <c:pt idx="35">
                  <c:v>61056</c:v>
                </c:pt>
                <c:pt idx="36">
                  <c:v>64707</c:v>
                </c:pt>
              </c:numCache>
            </c:numRef>
          </c:xVal>
          <c:yVal>
            <c:numRef>
              <c:f>'10.CurvaEonia'!$D$3:$D$81</c:f>
              <c:numCache>
                <c:formatCode>General</c:formatCode>
                <c:ptCount val="79"/>
                <c:pt idx="0">
                  <c:v>1.0000233338777904</c:v>
                </c:pt>
                <c:pt idx="1">
                  <c:v>1.0000684491293736</c:v>
                </c:pt>
                <c:pt idx="2">
                  <c:v>1.0001372966255564</c:v>
                </c:pt>
                <c:pt idx="3">
                  <c:v>1.0002065426510642</c:v>
                </c:pt>
                <c:pt idx="4">
                  <c:v>1.0003049262850292</c:v>
                </c:pt>
                <c:pt idx="5">
                  <c:v>1.0005788626658958</c:v>
                </c:pt>
                <c:pt idx="6">
                  <c:v>1.000902925650375</c:v>
                </c:pt>
                <c:pt idx="7">
                  <c:v>1.0012011075954119</c:v>
                </c:pt>
                <c:pt idx="8">
                  <c:v>1.0015025041317125</c:v>
                </c:pt>
                <c:pt idx="9">
                  <c:v>1.0018074833238082</c:v>
                </c:pt>
                <c:pt idx="10">
                  <c:v>1.0020988961379609</c:v>
                </c:pt>
                <c:pt idx="11">
                  <c:v>1.0024149847674824</c:v>
                </c:pt>
                <c:pt idx="12">
                  <c:v>1.0027114990119252</c:v>
                </c:pt>
                <c:pt idx="13">
                  <c:v>1.0029982962402428</c:v>
                </c:pt>
                <c:pt idx="14">
                  <c:v>1.0033248513365487</c:v>
                </c:pt>
                <c:pt idx="15">
                  <c:v>1.0036020951866607</c:v>
                </c:pt>
                <c:pt idx="16">
                  <c:v>1.0044724763495174</c:v>
                </c:pt>
                <c:pt idx="17">
                  <c:v>1.0053290174602778</c:v>
                </c:pt>
                <c:pt idx="18">
                  <c:v>1.0061261869477567</c:v>
                </c:pt>
                <c:pt idx="19">
                  <c:v>1.0068693901403518</c:v>
                </c:pt>
                <c:pt idx="20">
                  <c:v>1.009123370345876</c:v>
                </c:pt>
                <c:pt idx="21">
                  <c:v>1.0096344315855161</c:v>
                </c:pt>
                <c:pt idx="22">
                  <c:v>1.0076644663106404</c:v>
                </c:pt>
                <c:pt idx="23">
                  <c:v>1.0026955570801963</c:v>
                </c:pt>
                <c:pt idx="24">
                  <c:v>0.99457556238603284</c:v>
                </c:pt>
                <c:pt idx="25">
                  <c:v>0.98356801388041359</c:v>
                </c:pt>
                <c:pt idx="26">
                  <c:v>0.97046450332302481</c:v>
                </c:pt>
                <c:pt idx="27">
                  <c:v>0.95573891253518695</c:v>
                </c:pt>
                <c:pt idx="28">
                  <c:v>0.93981590629116718</c:v>
                </c:pt>
                <c:pt idx="29">
                  <c:v>0.92357173364707856</c:v>
                </c:pt>
                <c:pt idx="30">
                  <c:v>0.87486913045394488</c:v>
                </c:pt>
                <c:pt idx="31">
                  <c:v>0.80227383438302668</c:v>
                </c:pt>
                <c:pt idx="32">
                  <c:v>0.74312658277693899</c:v>
                </c:pt>
                <c:pt idx="33">
                  <c:v>0.69287927839767771</c:v>
                </c:pt>
                <c:pt idx="34">
                  <c:v>0.61030838078649063</c:v>
                </c:pt>
                <c:pt idx="35">
                  <c:v>0.55518846296200541</c:v>
                </c:pt>
                <c:pt idx="36">
                  <c:v>0.50543262986960902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286272"/>
        <c:axId val="41325312"/>
      </c:scatterChart>
      <c:valAx>
        <c:axId val="41286272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it-IT"/>
          </a:p>
        </c:txPr>
        <c:crossAx val="41325312"/>
        <c:crosses val="autoZero"/>
        <c:crossBetween val="midCat"/>
      </c:valAx>
      <c:valAx>
        <c:axId val="41325312"/>
        <c:scaling>
          <c:orientation val="minMax"/>
        </c:scaling>
        <c:delete val="0"/>
        <c:axPos val="l"/>
        <c:majorGridlines>
          <c:spPr>
            <a:ln w="3175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FF0000"/>
                    </a:solidFill>
                  </a:defRPr>
                </a:pPr>
                <a:r>
                  <a:rPr lang="it-IT" sz="1100">
                    <a:solidFill>
                      <a:srgbClr val="FF0000"/>
                    </a:solidFill>
                  </a:rPr>
                  <a:t>Df</a:t>
                </a:r>
              </a:p>
            </c:rich>
          </c:tx>
          <c:overlay val="0"/>
        </c:title>
        <c:numFmt formatCode="#,##0.00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FF0000"/>
                </a:solidFill>
              </a:defRPr>
            </a:pPr>
            <a:endParaRPr lang="it-IT"/>
          </a:p>
        </c:txPr>
        <c:crossAx val="41286272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it-IT"/>
              <a:t>Rates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Rates</c:v>
          </c:tx>
          <c:marker>
            <c:symbol val="none"/>
          </c:marker>
          <c:xVal>
            <c:numRef>
              <c:f>'10.CurvaEonia'!$A$3:$A$81</c:f>
              <c:numCache>
                <c:formatCode>m/d/yyyy</c:formatCode>
                <c:ptCount val="79"/>
                <c:pt idx="0">
                  <c:v>42796</c:v>
                </c:pt>
                <c:pt idx="1">
                  <c:v>42801</c:v>
                </c:pt>
                <c:pt idx="2">
                  <c:v>42808</c:v>
                </c:pt>
                <c:pt idx="3">
                  <c:v>42815</c:v>
                </c:pt>
                <c:pt idx="4">
                  <c:v>42825</c:v>
                </c:pt>
                <c:pt idx="5">
                  <c:v>42853</c:v>
                </c:pt>
                <c:pt idx="6">
                  <c:v>42886</c:v>
                </c:pt>
                <c:pt idx="7">
                  <c:v>42916</c:v>
                </c:pt>
                <c:pt idx="8">
                  <c:v>42947</c:v>
                </c:pt>
                <c:pt idx="9">
                  <c:v>42978</c:v>
                </c:pt>
                <c:pt idx="10">
                  <c:v>43007</c:v>
                </c:pt>
                <c:pt idx="11">
                  <c:v>43039</c:v>
                </c:pt>
                <c:pt idx="12">
                  <c:v>43069</c:v>
                </c:pt>
                <c:pt idx="13">
                  <c:v>43098</c:v>
                </c:pt>
                <c:pt idx="14">
                  <c:v>43131</c:v>
                </c:pt>
                <c:pt idx="15">
                  <c:v>43159</c:v>
                </c:pt>
                <c:pt idx="16">
                  <c:v>43251</c:v>
                </c:pt>
                <c:pt idx="17">
                  <c:v>43343</c:v>
                </c:pt>
                <c:pt idx="18">
                  <c:v>43434</c:v>
                </c:pt>
                <c:pt idx="19">
                  <c:v>43524</c:v>
                </c:pt>
                <c:pt idx="20">
                  <c:v>43889</c:v>
                </c:pt>
                <c:pt idx="21">
                  <c:v>44253</c:v>
                </c:pt>
                <c:pt idx="22">
                  <c:v>44620</c:v>
                </c:pt>
                <c:pt idx="23">
                  <c:v>44985</c:v>
                </c:pt>
                <c:pt idx="24">
                  <c:v>45351</c:v>
                </c:pt>
                <c:pt idx="25">
                  <c:v>45716</c:v>
                </c:pt>
                <c:pt idx="26">
                  <c:v>46080</c:v>
                </c:pt>
                <c:pt idx="27">
                  <c:v>46444</c:v>
                </c:pt>
                <c:pt idx="28">
                  <c:v>46812</c:v>
                </c:pt>
                <c:pt idx="29">
                  <c:v>47177</c:v>
                </c:pt>
                <c:pt idx="30">
                  <c:v>48271</c:v>
                </c:pt>
                <c:pt idx="31">
                  <c:v>50098</c:v>
                </c:pt>
                <c:pt idx="32">
                  <c:v>51925</c:v>
                </c:pt>
                <c:pt idx="33">
                  <c:v>53751</c:v>
                </c:pt>
                <c:pt idx="34">
                  <c:v>57404</c:v>
                </c:pt>
                <c:pt idx="35">
                  <c:v>61056</c:v>
                </c:pt>
                <c:pt idx="36">
                  <c:v>64707</c:v>
                </c:pt>
              </c:numCache>
            </c:numRef>
          </c:xVal>
          <c:yVal>
            <c:numRef>
              <c:f>'10.CurvaEonia'!$B$3:$B$81</c:f>
              <c:numCache>
                <c:formatCode>0.00000%</c:formatCode>
                <c:ptCount val="79"/>
                <c:pt idx="0">
                  <c:v>-4.2000490007497822E-3</c:v>
                </c:pt>
                <c:pt idx="1">
                  <c:v>-3.5201204659994875E-3</c:v>
                </c:pt>
                <c:pt idx="2">
                  <c:v>-3.5302423175302316E-3</c:v>
                </c:pt>
                <c:pt idx="3">
                  <c:v>-3.5403655554417423E-3</c:v>
                </c:pt>
                <c:pt idx="4">
                  <c:v>-3.5405396646743673E-3</c:v>
                </c:pt>
                <c:pt idx="5">
                  <c:v>-3.5310214954384434E-3</c:v>
                </c:pt>
                <c:pt idx="6">
                  <c:v>-3.5315931843444867E-3</c:v>
                </c:pt>
                <c:pt idx="7">
                  <c:v>-3.5421251097854049E-3</c:v>
                </c:pt>
                <c:pt idx="8">
                  <c:v>-3.5326505923546766E-3</c:v>
                </c:pt>
                <c:pt idx="9">
                  <c:v>-3.5331882877325297E-3</c:v>
                </c:pt>
                <c:pt idx="10">
                  <c:v>-3.5437124497229113E-3</c:v>
                </c:pt>
                <c:pt idx="11">
                  <c:v>-3.5442710862376614E-3</c:v>
                </c:pt>
                <c:pt idx="12">
                  <c:v>-3.5447950213268096E-3</c:v>
                </c:pt>
                <c:pt idx="13">
                  <c:v>-3.5453016883301054E-3</c:v>
                </c:pt>
                <c:pt idx="14">
                  <c:v>-3.5458784754811932E-3</c:v>
                </c:pt>
                <c:pt idx="15">
                  <c:v>-3.5463680669548976E-3</c:v>
                </c:pt>
                <c:pt idx="16">
                  <c:v>-3.5153208697495551E-3</c:v>
                </c:pt>
                <c:pt idx="17">
                  <c:v>-3.4851596663657732E-3</c:v>
                </c:pt>
                <c:pt idx="18">
                  <c:v>-3.4354677110763976E-3</c:v>
                </c:pt>
                <c:pt idx="19">
                  <c:v>-3.3760619400202952E-3</c:v>
                </c:pt>
                <c:pt idx="20">
                  <c:v>-2.9858642675313564E-3</c:v>
                </c:pt>
                <c:pt idx="21">
                  <c:v>-2.3658628561350581E-3</c:v>
                </c:pt>
                <c:pt idx="22">
                  <c:v>-1.5053054021170289E-3</c:v>
                </c:pt>
                <c:pt idx="23">
                  <c:v>-4.4230716997418525E-4</c:v>
                </c:pt>
                <c:pt idx="24">
                  <c:v>7.6578536835592188E-4</c:v>
                </c:pt>
                <c:pt idx="25">
                  <c:v>2.0412922308719259E-3</c:v>
                </c:pt>
                <c:pt idx="26">
                  <c:v>3.2845292064274884E-3</c:v>
                </c:pt>
                <c:pt idx="27">
                  <c:v>4.465036333787923E-3</c:v>
                </c:pt>
                <c:pt idx="28">
                  <c:v>5.5613878090870527E-3</c:v>
                </c:pt>
                <c:pt idx="29">
                  <c:v>6.5303331835633886E-3</c:v>
                </c:pt>
                <c:pt idx="30">
                  <c:v>8.7867717440498917E-3</c:v>
                </c:pt>
                <c:pt idx="31">
                  <c:v>1.0858420646834899E-2</c:v>
                </c:pt>
                <c:pt idx="32">
                  <c:v>1.1705179869958466E-2</c:v>
                </c:pt>
                <c:pt idx="33">
                  <c:v>1.205474296877169E-2</c:v>
                </c:pt>
                <c:pt idx="34">
                  <c:v>1.2167332417707307E-2</c:v>
                </c:pt>
                <c:pt idx="35">
                  <c:v>1.1600106997606319E-2</c:v>
                </c:pt>
                <c:pt idx="36">
                  <c:v>1.1209902273221524E-2</c:v>
                </c:pt>
              </c:numCache>
            </c:numRef>
          </c:yVal>
          <c:smooth val="1"/>
        </c:ser>
        <c:ser>
          <c:idx val="0"/>
          <c:order val="1"/>
          <c:tx>
            <c:v>ForwardRates</c:v>
          </c:tx>
          <c:marker>
            <c:symbol val="none"/>
          </c:marker>
          <c:xVal>
            <c:numRef>
              <c:f>'10.CurvaEonia'!$J$2:$J$81</c:f>
              <c:numCache>
                <c:formatCode>m/d/yyyy</c:formatCode>
                <c:ptCount val="80"/>
                <c:pt idx="0">
                  <c:v>42794</c:v>
                </c:pt>
                <c:pt idx="1">
                  <c:v>42975</c:v>
                </c:pt>
                <c:pt idx="2">
                  <c:v>43159</c:v>
                </c:pt>
                <c:pt idx="3">
                  <c:v>43340</c:v>
                </c:pt>
                <c:pt idx="4">
                  <c:v>43524</c:v>
                </c:pt>
                <c:pt idx="5">
                  <c:v>43705</c:v>
                </c:pt>
                <c:pt idx="6">
                  <c:v>43889</c:v>
                </c:pt>
                <c:pt idx="7">
                  <c:v>44071</c:v>
                </c:pt>
                <c:pt idx="8">
                  <c:v>44255</c:v>
                </c:pt>
                <c:pt idx="9">
                  <c:v>44436</c:v>
                </c:pt>
                <c:pt idx="10">
                  <c:v>44620</c:v>
                </c:pt>
                <c:pt idx="11">
                  <c:v>44801</c:v>
                </c:pt>
                <c:pt idx="12">
                  <c:v>44985</c:v>
                </c:pt>
                <c:pt idx="13">
                  <c:v>45166</c:v>
                </c:pt>
                <c:pt idx="14">
                  <c:v>45350</c:v>
                </c:pt>
                <c:pt idx="15">
                  <c:v>45532</c:v>
                </c:pt>
                <c:pt idx="16">
                  <c:v>45716</c:v>
                </c:pt>
                <c:pt idx="17">
                  <c:v>45897</c:v>
                </c:pt>
                <c:pt idx="18">
                  <c:v>46081</c:v>
                </c:pt>
                <c:pt idx="19">
                  <c:v>46262</c:v>
                </c:pt>
                <c:pt idx="20">
                  <c:v>46446</c:v>
                </c:pt>
                <c:pt idx="21">
                  <c:v>46627</c:v>
                </c:pt>
                <c:pt idx="22">
                  <c:v>46811</c:v>
                </c:pt>
                <c:pt idx="23">
                  <c:v>46993</c:v>
                </c:pt>
                <c:pt idx="24">
                  <c:v>47177</c:v>
                </c:pt>
                <c:pt idx="25">
                  <c:v>47358</c:v>
                </c:pt>
                <c:pt idx="26">
                  <c:v>47542</c:v>
                </c:pt>
                <c:pt idx="27">
                  <c:v>47723</c:v>
                </c:pt>
                <c:pt idx="28">
                  <c:v>47907</c:v>
                </c:pt>
                <c:pt idx="29">
                  <c:v>48088</c:v>
                </c:pt>
                <c:pt idx="30">
                  <c:v>48272</c:v>
                </c:pt>
                <c:pt idx="31">
                  <c:v>48454</c:v>
                </c:pt>
                <c:pt idx="32">
                  <c:v>48638</c:v>
                </c:pt>
                <c:pt idx="33">
                  <c:v>48819</c:v>
                </c:pt>
                <c:pt idx="34">
                  <c:v>49003</c:v>
                </c:pt>
                <c:pt idx="35">
                  <c:v>49184</c:v>
                </c:pt>
                <c:pt idx="36">
                  <c:v>49368</c:v>
                </c:pt>
                <c:pt idx="37">
                  <c:v>49549</c:v>
                </c:pt>
                <c:pt idx="38">
                  <c:v>49733</c:v>
                </c:pt>
                <c:pt idx="39">
                  <c:v>49915</c:v>
                </c:pt>
                <c:pt idx="40">
                  <c:v>50099</c:v>
                </c:pt>
                <c:pt idx="41">
                  <c:v>50280</c:v>
                </c:pt>
                <c:pt idx="42">
                  <c:v>50464</c:v>
                </c:pt>
                <c:pt idx="43">
                  <c:v>50645</c:v>
                </c:pt>
                <c:pt idx="44">
                  <c:v>50829</c:v>
                </c:pt>
                <c:pt idx="45">
                  <c:v>51010</c:v>
                </c:pt>
                <c:pt idx="46">
                  <c:v>51194</c:v>
                </c:pt>
                <c:pt idx="47">
                  <c:v>51376</c:v>
                </c:pt>
                <c:pt idx="48">
                  <c:v>51560</c:v>
                </c:pt>
                <c:pt idx="49">
                  <c:v>51741</c:v>
                </c:pt>
                <c:pt idx="50">
                  <c:v>51925</c:v>
                </c:pt>
                <c:pt idx="51">
                  <c:v>52106</c:v>
                </c:pt>
                <c:pt idx="52">
                  <c:v>52290</c:v>
                </c:pt>
                <c:pt idx="53">
                  <c:v>52471</c:v>
                </c:pt>
                <c:pt idx="54">
                  <c:v>52655</c:v>
                </c:pt>
                <c:pt idx="55">
                  <c:v>52837</c:v>
                </c:pt>
                <c:pt idx="56">
                  <c:v>53021</c:v>
                </c:pt>
                <c:pt idx="57">
                  <c:v>53202</c:v>
                </c:pt>
                <c:pt idx="58">
                  <c:v>53386</c:v>
                </c:pt>
                <c:pt idx="59">
                  <c:v>53567</c:v>
                </c:pt>
                <c:pt idx="60">
                  <c:v>53751</c:v>
                </c:pt>
                <c:pt idx="61">
                  <c:v>53932</c:v>
                </c:pt>
                <c:pt idx="62">
                  <c:v>54116</c:v>
                </c:pt>
                <c:pt idx="63">
                  <c:v>54298</c:v>
                </c:pt>
                <c:pt idx="64">
                  <c:v>54482</c:v>
                </c:pt>
                <c:pt idx="65">
                  <c:v>54663</c:v>
                </c:pt>
                <c:pt idx="66">
                  <c:v>54847</c:v>
                </c:pt>
                <c:pt idx="67">
                  <c:v>55028</c:v>
                </c:pt>
                <c:pt idx="68">
                  <c:v>55212</c:v>
                </c:pt>
                <c:pt idx="69">
                  <c:v>55393</c:v>
                </c:pt>
                <c:pt idx="70">
                  <c:v>55577</c:v>
                </c:pt>
                <c:pt idx="71">
                  <c:v>55759</c:v>
                </c:pt>
                <c:pt idx="72">
                  <c:v>55943</c:v>
                </c:pt>
                <c:pt idx="73">
                  <c:v>56124</c:v>
                </c:pt>
                <c:pt idx="74">
                  <c:v>56308</c:v>
                </c:pt>
                <c:pt idx="75">
                  <c:v>56489</c:v>
                </c:pt>
                <c:pt idx="76">
                  <c:v>56673</c:v>
                </c:pt>
                <c:pt idx="77">
                  <c:v>56854</c:v>
                </c:pt>
                <c:pt idx="78">
                  <c:v>57038</c:v>
                </c:pt>
                <c:pt idx="79">
                  <c:v>57220</c:v>
                </c:pt>
              </c:numCache>
            </c:numRef>
          </c:xVal>
          <c:yVal>
            <c:numRef>
              <c:f>'10.CurvaEonia'!$L$2:$L$81</c:f>
              <c:numCache>
                <c:formatCode>0.0000000%</c:formatCode>
                <c:ptCount val="80"/>
                <c:pt idx="0">
                  <c:v>-3.5300080448421025E-3</c:v>
                </c:pt>
                <c:pt idx="1">
                  <c:v>-3.556140515210669E-3</c:v>
                </c:pt>
                <c:pt idx="2">
                  <c:v>-3.3613680113832641E-3</c:v>
                </c:pt>
                <c:pt idx="3">
                  <c:v>-3.0475076480847118E-3</c:v>
                </c:pt>
                <c:pt idx="4">
                  <c:v>-2.2042465954148212E-3</c:v>
                </c:pt>
                <c:pt idx="5">
                  <c:v>-2.2042263434604945E-3</c:v>
                </c:pt>
                <c:pt idx="6">
                  <c:v>-5.0068534170622447E-4</c:v>
                </c:pt>
                <c:pt idx="7">
                  <c:v>-4.7442413062918611E-4</c:v>
                </c:pt>
                <c:pt idx="8">
                  <c:v>1.9167438115843833E-3</c:v>
                </c:pt>
                <c:pt idx="9">
                  <c:v>1.916759114696291E-3</c:v>
                </c:pt>
                <c:pt idx="10">
                  <c:v>4.8815770763723405E-3</c:v>
                </c:pt>
                <c:pt idx="11">
                  <c:v>4.8816762873961908E-3</c:v>
                </c:pt>
                <c:pt idx="12">
                  <c:v>8.013938365527256E-3</c:v>
                </c:pt>
                <c:pt idx="13">
                  <c:v>8.0142056094863988E-3</c:v>
                </c:pt>
                <c:pt idx="14">
                  <c:v>1.0990884048284348E-2</c:v>
                </c:pt>
                <c:pt idx="15">
                  <c:v>1.1007679102008134E-2</c:v>
                </c:pt>
                <c:pt idx="16">
                  <c:v>1.3308910009469587E-2</c:v>
                </c:pt>
                <c:pt idx="17">
                  <c:v>1.3319809972486999E-2</c:v>
                </c:pt>
                <c:pt idx="18">
                  <c:v>1.5179664530664808E-2</c:v>
                </c:pt>
                <c:pt idx="19">
                  <c:v>1.519501016831486E-2</c:v>
                </c:pt>
                <c:pt idx="20">
                  <c:v>1.6503620322714439E-2</c:v>
                </c:pt>
                <c:pt idx="21">
                  <c:v>1.6504752121300734E-2</c:v>
                </c:pt>
                <c:pt idx="22">
                  <c:v>1.7267447625342217E-2</c:v>
                </c:pt>
                <c:pt idx="23">
                  <c:v>1.7272492658160849E-2</c:v>
                </c:pt>
                <c:pt idx="24">
                  <c:v>1.7907094668037155E-2</c:v>
                </c:pt>
                <c:pt idx="25">
                  <c:v>1.7908426842406452E-2</c:v>
                </c:pt>
                <c:pt idx="26">
                  <c:v>1.7907094668037155E-2</c:v>
                </c:pt>
                <c:pt idx="27">
                  <c:v>1.7908426842406452E-2</c:v>
                </c:pt>
                <c:pt idx="28">
                  <c:v>1.7907094668037155E-2</c:v>
                </c:pt>
                <c:pt idx="29">
                  <c:v>1.7904268849504724E-2</c:v>
                </c:pt>
                <c:pt idx="30">
                  <c:v>1.7142689564118435E-2</c:v>
                </c:pt>
                <c:pt idx="31">
                  <c:v>1.714350355239519E-2</c:v>
                </c:pt>
                <c:pt idx="32">
                  <c:v>1.7142282589290687E-2</c:v>
                </c:pt>
                <c:pt idx="33">
                  <c:v>1.7143503552395623E-2</c:v>
                </c:pt>
                <c:pt idx="34">
                  <c:v>1.7142282589290687E-2</c:v>
                </c:pt>
                <c:pt idx="35">
                  <c:v>1.7143503552395623E-2</c:v>
                </c:pt>
                <c:pt idx="36">
                  <c:v>1.7142282589290687E-2</c:v>
                </c:pt>
                <c:pt idx="37">
                  <c:v>1.714350355239519E-2</c:v>
                </c:pt>
                <c:pt idx="38">
                  <c:v>1.7142689564118872E-2</c:v>
                </c:pt>
                <c:pt idx="39">
                  <c:v>1.7132656817792517E-2</c:v>
                </c:pt>
                <c:pt idx="40">
                  <c:v>1.5147753975076377E-2</c:v>
                </c:pt>
                <c:pt idx="41">
                  <c:v>1.514870765738467E-2</c:v>
                </c:pt>
                <c:pt idx="42">
                  <c:v>1.514775397507682E-2</c:v>
                </c:pt>
                <c:pt idx="43">
                  <c:v>1.514870765738467E-2</c:v>
                </c:pt>
                <c:pt idx="44">
                  <c:v>1.514775397507682E-2</c:v>
                </c:pt>
                <c:pt idx="45">
                  <c:v>1.514870765738467E-2</c:v>
                </c:pt>
                <c:pt idx="46">
                  <c:v>1.5148071860289897E-2</c:v>
                </c:pt>
                <c:pt idx="47">
                  <c:v>1.514870765738467E-2</c:v>
                </c:pt>
                <c:pt idx="48">
                  <c:v>1.514775397507682E-2</c:v>
                </c:pt>
                <c:pt idx="49">
                  <c:v>1.514870765738467E-2</c:v>
                </c:pt>
                <c:pt idx="50">
                  <c:v>1.3850754462746952E-2</c:v>
                </c:pt>
                <c:pt idx="51">
                  <c:v>1.3851551991759829E-2</c:v>
                </c:pt>
                <c:pt idx="52">
                  <c:v>1.3850754462746952E-2</c:v>
                </c:pt>
                <c:pt idx="53">
                  <c:v>1.3851551991759829E-2</c:v>
                </c:pt>
                <c:pt idx="54">
                  <c:v>1.3851020298952178E-2</c:v>
                </c:pt>
                <c:pt idx="55">
                  <c:v>1.3851551991760263E-2</c:v>
                </c:pt>
                <c:pt idx="56">
                  <c:v>1.3850754462746952E-2</c:v>
                </c:pt>
                <c:pt idx="57">
                  <c:v>1.3851551991760263E-2</c:v>
                </c:pt>
                <c:pt idx="58">
                  <c:v>1.3850754462746952E-2</c:v>
                </c:pt>
                <c:pt idx="59">
                  <c:v>1.3851551991760263E-2</c:v>
                </c:pt>
                <c:pt idx="60">
                  <c:v>1.2544432828247638E-2</c:v>
                </c:pt>
                <c:pt idx="61">
                  <c:v>1.2545087155163512E-2</c:v>
                </c:pt>
                <c:pt idx="62">
                  <c:v>1.2544650932165922E-2</c:v>
                </c:pt>
                <c:pt idx="63">
                  <c:v>1.2545087155163512E-2</c:v>
                </c:pt>
                <c:pt idx="64">
                  <c:v>1.2544432828247196E-2</c:v>
                </c:pt>
                <c:pt idx="65">
                  <c:v>1.2545087155163077E-2</c:v>
                </c:pt>
                <c:pt idx="66">
                  <c:v>1.2544432828247638E-2</c:v>
                </c:pt>
                <c:pt idx="67">
                  <c:v>1.2545087155163512E-2</c:v>
                </c:pt>
                <c:pt idx="68">
                  <c:v>1.2544432828247196E-2</c:v>
                </c:pt>
                <c:pt idx="69">
                  <c:v>1.2545087155163512E-2</c:v>
                </c:pt>
                <c:pt idx="70">
                  <c:v>1.2544650932166361E-2</c:v>
                </c:pt>
                <c:pt idx="71">
                  <c:v>1.2545087155163512E-2</c:v>
                </c:pt>
                <c:pt idx="72">
                  <c:v>1.2544432828247638E-2</c:v>
                </c:pt>
                <c:pt idx="73">
                  <c:v>1.2545087155163512E-2</c:v>
                </c:pt>
                <c:pt idx="74">
                  <c:v>1.2544432828247638E-2</c:v>
                </c:pt>
                <c:pt idx="75">
                  <c:v>1.2545087155163512E-2</c:v>
                </c:pt>
                <c:pt idx="76">
                  <c:v>1.2544432828247638E-2</c:v>
                </c:pt>
                <c:pt idx="77">
                  <c:v>1.2545087155163077E-2</c:v>
                </c:pt>
                <c:pt idx="78">
                  <c:v>1.2544650932165922E-2</c:v>
                </c:pt>
                <c:pt idx="79">
                  <c:v>1.2545087155163512E-2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367040"/>
        <c:axId val="41368960"/>
      </c:scatterChart>
      <c:valAx>
        <c:axId val="41367040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low"/>
        <c:txPr>
          <a:bodyPr/>
          <a:lstStyle/>
          <a:p>
            <a:pPr>
              <a:defRPr b="1"/>
            </a:pPr>
            <a:endParaRPr lang="it-IT"/>
          </a:p>
        </c:txPr>
        <c:crossAx val="41368960"/>
        <c:crosses val="autoZero"/>
        <c:crossBetween val="midCat"/>
      </c:valAx>
      <c:valAx>
        <c:axId val="41368960"/>
        <c:scaling>
          <c:orientation val="minMax"/>
        </c:scaling>
        <c:delete val="0"/>
        <c:axPos val="l"/>
        <c:majorGridlines>
          <c:spPr>
            <a:ln w="6350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7030A0"/>
                    </a:solidFill>
                  </a:defRPr>
                </a:pPr>
                <a:r>
                  <a:rPr lang="it-IT" sz="1100">
                    <a:solidFill>
                      <a:srgbClr val="7030A0"/>
                    </a:solidFill>
                  </a:rPr>
                  <a:t>Rates</a:t>
                </a:r>
              </a:p>
            </c:rich>
          </c:tx>
          <c:overlay val="0"/>
        </c:title>
        <c:numFmt formatCode="0.00%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7030A0"/>
                </a:solidFill>
              </a:defRPr>
            </a:pPr>
            <a:endParaRPr lang="it-IT"/>
          </a:p>
        </c:txPr>
        <c:crossAx val="41367040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200"/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Discount Factor</c:v>
          </c:tx>
          <c:marker>
            <c:symbol val="none"/>
          </c:marker>
          <c:xVal>
            <c:numRef>
              <c:f>'10.CurvaSwap6M'!$A$3:$A$81</c:f>
              <c:numCache>
                <c:formatCode>m/d/yyyy</c:formatCode>
                <c:ptCount val="79"/>
                <c:pt idx="0">
                  <c:v>42978</c:v>
                </c:pt>
                <c:pt idx="1">
                  <c:v>43069</c:v>
                </c:pt>
                <c:pt idx="2">
                  <c:v>43159</c:v>
                </c:pt>
                <c:pt idx="3">
                  <c:v>43343</c:v>
                </c:pt>
                <c:pt idx="4">
                  <c:v>43524</c:v>
                </c:pt>
                <c:pt idx="5">
                  <c:v>43889</c:v>
                </c:pt>
                <c:pt idx="6">
                  <c:v>44253</c:v>
                </c:pt>
                <c:pt idx="7">
                  <c:v>44620</c:v>
                </c:pt>
                <c:pt idx="8">
                  <c:v>44985</c:v>
                </c:pt>
                <c:pt idx="9">
                  <c:v>45350</c:v>
                </c:pt>
                <c:pt idx="10">
                  <c:v>45716</c:v>
                </c:pt>
                <c:pt idx="11">
                  <c:v>46080</c:v>
                </c:pt>
                <c:pt idx="12">
                  <c:v>46444</c:v>
                </c:pt>
                <c:pt idx="13">
                  <c:v>46811</c:v>
                </c:pt>
                <c:pt idx="14">
                  <c:v>47177</c:v>
                </c:pt>
                <c:pt idx="15">
                  <c:v>47542</c:v>
                </c:pt>
                <c:pt idx="16">
                  <c:v>47907</c:v>
                </c:pt>
                <c:pt idx="17">
                  <c:v>48271</c:v>
                </c:pt>
                <c:pt idx="18">
                  <c:v>48638</c:v>
                </c:pt>
                <c:pt idx="19">
                  <c:v>49003</c:v>
                </c:pt>
                <c:pt idx="20">
                  <c:v>49368</c:v>
                </c:pt>
                <c:pt idx="21">
                  <c:v>49733</c:v>
                </c:pt>
                <c:pt idx="22">
                  <c:v>50098</c:v>
                </c:pt>
                <c:pt idx="23">
                  <c:v>50462</c:v>
                </c:pt>
                <c:pt idx="24">
                  <c:v>50829</c:v>
                </c:pt>
                <c:pt idx="25">
                  <c:v>51194</c:v>
                </c:pt>
                <c:pt idx="26">
                  <c:v>51560</c:v>
                </c:pt>
                <c:pt idx="27">
                  <c:v>51925</c:v>
                </c:pt>
                <c:pt idx="28">
                  <c:v>52289</c:v>
                </c:pt>
                <c:pt idx="29">
                  <c:v>52656</c:v>
                </c:pt>
                <c:pt idx="30">
                  <c:v>53021</c:v>
                </c:pt>
                <c:pt idx="31">
                  <c:v>53386</c:v>
                </c:pt>
                <c:pt idx="32">
                  <c:v>53751</c:v>
                </c:pt>
                <c:pt idx="33">
                  <c:v>55577</c:v>
                </c:pt>
                <c:pt idx="34">
                  <c:v>57404</c:v>
                </c:pt>
                <c:pt idx="35">
                  <c:v>61056</c:v>
                </c:pt>
                <c:pt idx="36">
                  <c:v>64707</c:v>
                </c:pt>
              </c:numCache>
            </c:numRef>
          </c:xVal>
          <c:yVal>
            <c:numRef>
              <c:f>'10.CurvaSwap6M'!$D$3:$D$81</c:f>
              <c:numCache>
                <c:formatCode>General</c:formatCode>
                <c:ptCount val="79"/>
                <c:pt idx="0">
                  <c:v>1.0012179259837413</c:v>
                </c:pt>
                <c:pt idx="1">
                  <c:v>1.0016678745194332</c:v>
                </c:pt>
                <c:pt idx="2">
                  <c:v>1.0021147630236156</c:v>
                </c:pt>
                <c:pt idx="3">
                  <c:v>1.0027810553248202</c:v>
                </c:pt>
                <c:pt idx="4">
                  <c:v>1.0031744669115941</c:v>
                </c:pt>
                <c:pt idx="5">
                  <c:v>1.002775093292966</c:v>
                </c:pt>
                <c:pt idx="6">
                  <c:v>1.0002999571266871</c:v>
                </c:pt>
                <c:pt idx="7">
                  <c:v>0.99514284906770856</c:v>
                </c:pt>
                <c:pt idx="8">
                  <c:v>0.98750794970956224</c:v>
                </c:pt>
                <c:pt idx="9">
                  <c:v>0.97722524105185626</c:v>
                </c:pt>
                <c:pt idx="10">
                  <c:v>0.96445423938039454</c:v>
                </c:pt>
                <c:pt idx="11">
                  <c:v>0.94988542843728851</c:v>
                </c:pt>
                <c:pt idx="12">
                  <c:v>0.93409802506350226</c:v>
                </c:pt>
                <c:pt idx="13">
                  <c:v>0.91734000687862749</c:v>
                </c:pt>
                <c:pt idx="14">
                  <c:v>0.90034319521593864</c:v>
                </c:pt>
                <c:pt idx="15">
                  <c:v>0.88331444458260511</c:v>
                </c:pt>
                <c:pt idx="16">
                  <c:v>0.86657849858349134</c:v>
                </c:pt>
                <c:pt idx="17">
                  <c:v>0.85033040793412973</c:v>
                </c:pt>
                <c:pt idx="18">
                  <c:v>0.83447402436214524</c:v>
                </c:pt>
                <c:pt idx="19">
                  <c:v>0.81929695420711068</c:v>
                </c:pt>
                <c:pt idx="20">
                  <c:v>0.80481169706881495</c:v>
                </c:pt>
                <c:pt idx="21">
                  <c:v>0.79101668918836454</c:v>
                </c:pt>
                <c:pt idx="22">
                  <c:v>0.7779004697610149</c:v>
                </c:pt>
                <c:pt idx="23">
                  <c:v>0.76536509337599723</c:v>
                </c:pt>
                <c:pt idx="24">
                  <c:v>0.75304006780068766</c:v>
                </c:pt>
                <c:pt idx="25">
                  <c:v>0.74150181413592575</c:v>
                </c:pt>
                <c:pt idx="26">
                  <c:v>0.73015587255063097</c:v>
                </c:pt>
                <c:pt idx="27">
                  <c:v>0.71945455736313302</c:v>
                </c:pt>
                <c:pt idx="28">
                  <c:v>0.70903464870625355</c:v>
                </c:pt>
                <c:pt idx="29">
                  <c:v>0.69881888446946805</c:v>
                </c:pt>
                <c:pt idx="30">
                  <c:v>0.68897508175039746</c:v>
                </c:pt>
                <c:pt idx="31">
                  <c:v>0.67942129562593523</c:v>
                </c:pt>
                <c:pt idx="32">
                  <c:v>0.6701992170891744</c:v>
                </c:pt>
                <c:pt idx="33">
                  <c:v>0.62682195829203169</c:v>
                </c:pt>
                <c:pt idx="34">
                  <c:v>0.58920032368474273</c:v>
                </c:pt>
                <c:pt idx="35">
                  <c:v>0.53524273757747676</c:v>
                </c:pt>
                <c:pt idx="36">
                  <c:v>0.48640985694068539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066048"/>
        <c:axId val="40084608"/>
      </c:scatterChart>
      <c:valAx>
        <c:axId val="40066048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it-IT"/>
          </a:p>
        </c:txPr>
        <c:crossAx val="40084608"/>
        <c:crosses val="autoZero"/>
        <c:crossBetween val="midCat"/>
      </c:valAx>
      <c:valAx>
        <c:axId val="40084608"/>
        <c:scaling>
          <c:orientation val="minMax"/>
        </c:scaling>
        <c:delete val="0"/>
        <c:axPos val="l"/>
        <c:majorGridlines>
          <c:spPr>
            <a:ln w="3175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FF0000"/>
                    </a:solidFill>
                  </a:defRPr>
                </a:pPr>
                <a:r>
                  <a:rPr lang="it-IT" sz="1100">
                    <a:solidFill>
                      <a:srgbClr val="FF0000"/>
                    </a:solidFill>
                  </a:rPr>
                  <a:t>Df</a:t>
                </a:r>
              </a:p>
            </c:rich>
          </c:tx>
          <c:overlay val="0"/>
        </c:title>
        <c:numFmt formatCode="#,##0.00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FF0000"/>
                </a:solidFill>
              </a:defRPr>
            </a:pPr>
            <a:endParaRPr lang="it-IT"/>
          </a:p>
        </c:txPr>
        <c:crossAx val="40066048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it-IT"/>
              <a:t>Rates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Rates</c:v>
          </c:tx>
          <c:marker>
            <c:symbol val="none"/>
          </c:marker>
          <c:xVal>
            <c:numRef>
              <c:f>'10.CurvaSwap6M'!$A$3:$A$81</c:f>
              <c:numCache>
                <c:formatCode>m/d/yyyy</c:formatCode>
                <c:ptCount val="79"/>
                <c:pt idx="0">
                  <c:v>42978</c:v>
                </c:pt>
                <c:pt idx="1">
                  <c:v>43069</c:v>
                </c:pt>
                <c:pt idx="2">
                  <c:v>43159</c:v>
                </c:pt>
                <c:pt idx="3">
                  <c:v>43343</c:v>
                </c:pt>
                <c:pt idx="4">
                  <c:v>43524</c:v>
                </c:pt>
                <c:pt idx="5">
                  <c:v>43889</c:v>
                </c:pt>
                <c:pt idx="6">
                  <c:v>44253</c:v>
                </c:pt>
                <c:pt idx="7">
                  <c:v>44620</c:v>
                </c:pt>
                <c:pt idx="8">
                  <c:v>44985</c:v>
                </c:pt>
                <c:pt idx="9">
                  <c:v>45350</c:v>
                </c:pt>
                <c:pt idx="10">
                  <c:v>45716</c:v>
                </c:pt>
                <c:pt idx="11">
                  <c:v>46080</c:v>
                </c:pt>
                <c:pt idx="12">
                  <c:v>46444</c:v>
                </c:pt>
                <c:pt idx="13">
                  <c:v>46811</c:v>
                </c:pt>
                <c:pt idx="14">
                  <c:v>47177</c:v>
                </c:pt>
                <c:pt idx="15">
                  <c:v>47542</c:v>
                </c:pt>
                <c:pt idx="16">
                  <c:v>47907</c:v>
                </c:pt>
                <c:pt idx="17">
                  <c:v>48271</c:v>
                </c:pt>
                <c:pt idx="18">
                  <c:v>48638</c:v>
                </c:pt>
                <c:pt idx="19">
                  <c:v>49003</c:v>
                </c:pt>
                <c:pt idx="20">
                  <c:v>49368</c:v>
                </c:pt>
                <c:pt idx="21">
                  <c:v>49733</c:v>
                </c:pt>
                <c:pt idx="22">
                  <c:v>50098</c:v>
                </c:pt>
                <c:pt idx="23">
                  <c:v>50462</c:v>
                </c:pt>
                <c:pt idx="24">
                  <c:v>50829</c:v>
                </c:pt>
                <c:pt idx="25">
                  <c:v>51194</c:v>
                </c:pt>
                <c:pt idx="26">
                  <c:v>51560</c:v>
                </c:pt>
                <c:pt idx="27">
                  <c:v>51925</c:v>
                </c:pt>
                <c:pt idx="28">
                  <c:v>52289</c:v>
                </c:pt>
                <c:pt idx="29">
                  <c:v>52656</c:v>
                </c:pt>
                <c:pt idx="30">
                  <c:v>53021</c:v>
                </c:pt>
                <c:pt idx="31">
                  <c:v>53386</c:v>
                </c:pt>
                <c:pt idx="32">
                  <c:v>53751</c:v>
                </c:pt>
                <c:pt idx="33">
                  <c:v>55577</c:v>
                </c:pt>
                <c:pt idx="34">
                  <c:v>57404</c:v>
                </c:pt>
                <c:pt idx="35">
                  <c:v>61056</c:v>
                </c:pt>
                <c:pt idx="36">
                  <c:v>64707</c:v>
                </c:pt>
              </c:numCache>
            </c:numRef>
          </c:xVal>
          <c:yVal>
            <c:numRef>
              <c:f>'10.CurvaSwap6M'!$B$3:$B$81</c:f>
              <c:numCache>
                <c:formatCode>0.00000%</c:formatCode>
                <c:ptCount val="79"/>
                <c:pt idx="0">
                  <c:v>-2.381448743885955E-3</c:v>
                </c:pt>
                <c:pt idx="1">
                  <c:v>-2.1815805748742864E-3</c:v>
                </c:pt>
                <c:pt idx="2">
                  <c:v>-2.0835912919211722E-3</c:v>
                </c:pt>
                <c:pt idx="3">
                  <c:v>-1.8211117018679028E-3</c:v>
                </c:pt>
                <c:pt idx="4">
                  <c:v>-1.5630109789180951E-3</c:v>
                </c:pt>
                <c:pt idx="5">
                  <c:v>-9.1109583470998722E-4</c:v>
                </c:pt>
                <c:pt idx="6">
                  <c:v>-7.4001626782193542E-5</c:v>
                </c:pt>
                <c:pt idx="7">
                  <c:v>9.5993136987061907E-4</c:v>
                </c:pt>
                <c:pt idx="8">
                  <c:v>2.0654785413820125E-3</c:v>
                </c:pt>
                <c:pt idx="9">
                  <c:v>3.2448042192742038E-3</c:v>
                </c:pt>
                <c:pt idx="10">
                  <c:v>4.4590832865650798E-3</c:v>
                </c:pt>
                <c:pt idx="11">
                  <c:v>5.6326856938436727E-3</c:v>
                </c:pt>
                <c:pt idx="12">
                  <c:v>6.7240005408237243E-3</c:v>
                </c:pt>
                <c:pt idx="13">
                  <c:v>7.7320771037888382E-3</c:v>
                </c:pt>
                <c:pt idx="14">
                  <c:v>8.6225265155784308E-3</c:v>
                </c:pt>
                <c:pt idx="15">
                  <c:v>9.407466651305766E-3</c:v>
                </c:pt>
                <c:pt idx="16">
                  <c:v>1.0082716455895662E-2</c:v>
                </c:pt>
                <c:pt idx="17">
                  <c:v>1.0656728926799714E-2</c:v>
                </c:pt>
                <c:pt idx="18">
                  <c:v>1.1147042929285721E-2</c:v>
                </c:pt>
                <c:pt idx="19">
                  <c:v>1.1555987209324256E-2</c:v>
                </c:pt>
                <c:pt idx="20">
                  <c:v>1.1891223063580489E-2</c:v>
                </c:pt>
                <c:pt idx="21">
                  <c:v>1.2162708824361648E-2</c:v>
                </c:pt>
                <c:pt idx="22">
                  <c:v>1.2379026533265901E-2</c:v>
                </c:pt>
                <c:pt idx="23">
                  <c:v>1.2554099190527494E-2</c:v>
                </c:pt>
                <c:pt idx="24">
                  <c:v>1.2708060113826245E-2</c:v>
                </c:pt>
                <c:pt idx="25">
                  <c:v>1.2817614464202152E-2</c:v>
                </c:pt>
                <c:pt idx="26">
                  <c:v>1.291569788873732E-2</c:v>
                </c:pt>
                <c:pt idx="27">
                  <c:v>1.2981523248476805E-2</c:v>
                </c:pt>
                <c:pt idx="28">
                  <c:v>1.3037000334355909E-2</c:v>
                </c:pt>
                <c:pt idx="29">
                  <c:v>1.3081618708257206E-2</c:v>
                </c:pt>
                <c:pt idx="30">
                  <c:v>1.3114115850111928E-2</c:v>
                </c:pt>
                <c:pt idx="31">
                  <c:v>1.3136801023168864E-2</c:v>
                </c:pt>
                <c:pt idx="32">
                  <c:v>1.3148206431288442E-2</c:v>
                </c:pt>
                <c:pt idx="33">
                  <c:v>1.3154453980001229E-2</c:v>
                </c:pt>
                <c:pt idx="34">
                  <c:v>1.3034637659894184E-2</c:v>
                </c:pt>
                <c:pt idx="35">
                  <c:v>1.2321354241530037E-2</c:v>
                </c:pt>
                <c:pt idx="36">
                  <c:v>1.1840155434660339E-2</c:v>
                </c:pt>
              </c:numCache>
            </c:numRef>
          </c:yVal>
          <c:smooth val="1"/>
        </c:ser>
        <c:ser>
          <c:idx val="0"/>
          <c:order val="1"/>
          <c:tx>
            <c:v>ForwardRates</c:v>
          </c:tx>
          <c:marker>
            <c:symbol val="none"/>
          </c:marker>
          <c:xVal>
            <c:numRef>
              <c:f>'10.CurvaSwap6M'!$J$2:$J$81</c:f>
              <c:numCache>
                <c:formatCode>m/d/yyyy</c:formatCode>
                <c:ptCount val="80"/>
                <c:pt idx="0">
                  <c:v>42794</c:v>
                </c:pt>
                <c:pt idx="1">
                  <c:v>42975</c:v>
                </c:pt>
                <c:pt idx="2">
                  <c:v>43159</c:v>
                </c:pt>
                <c:pt idx="3">
                  <c:v>43340</c:v>
                </c:pt>
                <c:pt idx="4">
                  <c:v>43524</c:v>
                </c:pt>
                <c:pt idx="5">
                  <c:v>43705</c:v>
                </c:pt>
                <c:pt idx="6">
                  <c:v>43889</c:v>
                </c:pt>
                <c:pt idx="7">
                  <c:v>44071</c:v>
                </c:pt>
                <c:pt idx="8">
                  <c:v>44255</c:v>
                </c:pt>
                <c:pt idx="9">
                  <c:v>44436</c:v>
                </c:pt>
                <c:pt idx="10">
                  <c:v>44620</c:v>
                </c:pt>
                <c:pt idx="11">
                  <c:v>44801</c:v>
                </c:pt>
                <c:pt idx="12">
                  <c:v>44985</c:v>
                </c:pt>
                <c:pt idx="13">
                  <c:v>45166</c:v>
                </c:pt>
                <c:pt idx="14">
                  <c:v>45350</c:v>
                </c:pt>
                <c:pt idx="15">
                  <c:v>45532</c:v>
                </c:pt>
                <c:pt idx="16">
                  <c:v>45716</c:v>
                </c:pt>
                <c:pt idx="17">
                  <c:v>45897</c:v>
                </c:pt>
                <c:pt idx="18">
                  <c:v>46081</c:v>
                </c:pt>
                <c:pt idx="19">
                  <c:v>46262</c:v>
                </c:pt>
                <c:pt idx="20">
                  <c:v>46446</c:v>
                </c:pt>
                <c:pt idx="21">
                  <c:v>46627</c:v>
                </c:pt>
                <c:pt idx="22">
                  <c:v>46811</c:v>
                </c:pt>
                <c:pt idx="23">
                  <c:v>46993</c:v>
                </c:pt>
                <c:pt idx="24">
                  <c:v>47177</c:v>
                </c:pt>
                <c:pt idx="25">
                  <c:v>47358</c:v>
                </c:pt>
                <c:pt idx="26">
                  <c:v>47542</c:v>
                </c:pt>
                <c:pt idx="27">
                  <c:v>47723</c:v>
                </c:pt>
                <c:pt idx="28">
                  <c:v>47907</c:v>
                </c:pt>
                <c:pt idx="29">
                  <c:v>48088</c:v>
                </c:pt>
                <c:pt idx="30">
                  <c:v>48272</c:v>
                </c:pt>
                <c:pt idx="31">
                  <c:v>48454</c:v>
                </c:pt>
                <c:pt idx="32">
                  <c:v>48638</c:v>
                </c:pt>
                <c:pt idx="33">
                  <c:v>48819</c:v>
                </c:pt>
                <c:pt idx="34">
                  <c:v>49003</c:v>
                </c:pt>
                <c:pt idx="35">
                  <c:v>49184</c:v>
                </c:pt>
                <c:pt idx="36">
                  <c:v>49368</c:v>
                </c:pt>
                <c:pt idx="37">
                  <c:v>49549</c:v>
                </c:pt>
                <c:pt idx="38">
                  <c:v>49733</c:v>
                </c:pt>
                <c:pt idx="39">
                  <c:v>49915</c:v>
                </c:pt>
                <c:pt idx="40">
                  <c:v>50099</c:v>
                </c:pt>
                <c:pt idx="41">
                  <c:v>50280</c:v>
                </c:pt>
                <c:pt idx="42">
                  <c:v>50464</c:v>
                </c:pt>
                <c:pt idx="43">
                  <c:v>50645</c:v>
                </c:pt>
                <c:pt idx="44">
                  <c:v>50829</c:v>
                </c:pt>
                <c:pt idx="45">
                  <c:v>51010</c:v>
                </c:pt>
                <c:pt idx="46">
                  <c:v>51194</c:v>
                </c:pt>
                <c:pt idx="47">
                  <c:v>51376</c:v>
                </c:pt>
                <c:pt idx="48">
                  <c:v>51560</c:v>
                </c:pt>
                <c:pt idx="49">
                  <c:v>51741</c:v>
                </c:pt>
                <c:pt idx="50">
                  <c:v>51925</c:v>
                </c:pt>
                <c:pt idx="51">
                  <c:v>52106</c:v>
                </c:pt>
                <c:pt idx="52">
                  <c:v>52290</c:v>
                </c:pt>
                <c:pt idx="53">
                  <c:v>52471</c:v>
                </c:pt>
                <c:pt idx="54">
                  <c:v>52655</c:v>
                </c:pt>
                <c:pt idx="55">
                  <c:v>52837</c:v>
                </c:pt>
                <c:pt idx="56">
                  <c:v>53021</c:v>
                </c:pt>
                <c:pt idx="57">
                  <c:v>53202</c:v>
                </c:pt>
                <c:pt idx="58">
                  <c:v>53386</c:v>
                </c:pt>
                <c:pt idx="59">
                  <c:v>53567</c:v>
                </c:pt>
                <c:pt idx="60">
                  <c:v>53751</c:v>
                </c:pt>
                <c:pt idx="61">
                  <c:v>53932</c:v>
                </c:pt>
                <c:pt idx="62">
                  <c:v>54116</c:v>
                </c:pt>
                <c:pt idx="63">
                  <c:v>54298</c:v>
                </c:pt>
                <c:pt idx="64">
                  <c:v>54482</c:v>
                </c:pt>
                <c:pt idx="65">
                  <c:v>54663</c:v>
                </c:pt>
                <c:pt idx="66">
                  <c:v>54847</c:v>
                </c:pt>
                <c:pt idx="67">
                  <c:v>55028</c:v>
                </c:pt>
                <c:pt idx="68">
                  <c:v>55212</c:v>
                </c:pt>
                <c:pt idx="69">
                  <c:v>55393</c:v>
                </c:pt>
                <c:pt idx="70">
                  <c:v>55577</c:v>
                </c:pt>
                <c:pt idx="71">
                  <c:v>55759</c:v>
                </c:pt>
                <c:pt idx="72">
                  <c:v>55943</c:v>
                </c:pt>
                <c:pt idx="73">
                  <c:v>56124</c:v>
                </c:pt>
                <c:pt idx="74">
                  <c:v>56308</c:v>
                </c:pt>
                <c:pt idx="75">
                  <c:v>56489</c:v>
                </c:pt>
                <c:pt idx="76">
                  <c:v>56673</c:v>
                </c:pt>
                <c:pt idx="77">
                  <c:v>56854</c:v>
                </c:pt>
                <c:pt idx="78">
                  <c:v>57038</c:v>
                </c:pt>
                <c:pt idx="79">
                  <c:v>57220</c:v>
                </c:pt>
              </c:numCache>
            </c:numRef>
          </c:xVal>
          <c:yVal>
            <c:numRef>
              <c:f>'10.CurvaSwap6M'!$L$2:$L$81</c:f>
              <c:numCache>
                <c:formatCode>0.0000000%</c:formatCode>
                <c:ptCount val="80"/>
                <c:pt idx="0">
                  <c:v>-2.3800236113988493E-3</c:v>
                </c:pt>
                <c:pt idx="1">
                  <c:v>-1.7897710957347154E-3</c:v>
                </c:pt>
                <c:pt idx="2">
                  <c:v>-1.300007043252074E-3</c:v>
                </c:pt>
                <c:pt idx="3">
                  <c:v>-7.8847687582539472E-4</c:v>
                </c:pt>
                <c:pt idx="4">
                  <c:v>3.9277323056913563E-4</c:v>
                </c:pt>
                <c:pt idx="5">
                  <c:v>3.9277387332211597E-4</c:v>
                </c:pt>
                <c:pt idx="6">
                  <c:v>2.4456908458860447E-3</c:v>
                </c:pt>
                <c:pt idx="7">
                  <c:v>2.4742882132749275E-3</c:v>
                </c:pt>
                <c:pt idx="8">
                  <c:v>5.076776258074729E-3</c:v>
                </c:pt>
                <c:pt idx="9">
                  <c:v>5.0768835585702152E-3</c:v>
                </c:pt>
                <c:pt idx="10">
                  <c:v>7.6107676509780267E-3</c:v>
                </c:pt>
                <c:pt idx="11">
                  <c:v>7.6110086979113535E-3</c:v>
                </c:pt>
                <c:pt idx="12">
                  <c:v>1.0350829959347118E-2</c:v>
                </c:pt>
                <c:pt idx="13">
                  <c:v>1.0351275615071867E-2</c:v>
                </c:pt>
                <c:pt idx="14">
                  <c:v>1.2981543306675954E-2</c:v>
                </c:pt>
                <c:pt idx="15">
                  <c:v>1.2982010409571833E-2</c:v>
                </c:pt>
                <c:pt idx="16">
                  <c:v>1.5110859341072111E-2</c:v>
                </c:pt>
                <c:pt idx="17">
                  <c:v>1.5120144410736764E-2</c:v>
                </c:pt>
                <c:pt idx="18">
                  <c:v>1.6645078640791112E-2</c:v>
                </c:pt>
                <c:pt idx="19">
                  <c:v>1.665918807807493E-2</c:v>
                </c:pt>
                <c:pt idx="20">
                  <c:v>1.7837416923884141E-2</c:v>
                </c:pt>
                <c:pt idx="21">
                  <c:v>1.7838738766347974E-2</c:v>
                </c:pt>
                <c:pt idx="22">
                  <c:v>1.8481378812654929E-2</c:v>
                </c:pt>
                <c:pt idx="23">
                  <c:v>1.8482324685255545E-2</c:v>
                </c:pt>
                <c:pt idx="24">
                  <c:v>1.8922646920387119E-2</c:v>
                </c:pt>
                <c:pt idx="25">
                  <c:v>1.8924134233266648E-2</c:v>
                </c:pt>
                <c:pt idx="26">
                  <c:v>1.8956278219494051E-2</c:v>
                </c:pt>
                <c:pt idx="27">
                  <c:v>1.895777081566432E-2</c:v>
                </c:pt>
                <c:pt idx="28">
                  <c:v>1.8808082427906127E-2</c:v>
                </c:pt>
                <c:pt idx="29">
                  <c:v>1.8808150607289312E-2</c:v>
                </c:pt>
                <c:pt idx="30">
                  <c:v>1.8550793637965978E-2</c:v>
                </c:pt>
                <c:pt idx="31">
                  <c:v>1.8551746618221242E-2</c:v>
                </c:pt>
                <c:pt idx="32">
                  <c:v>1.8186217885788121E-2</c:v>
                </c:pt>
                <c:pt idx="33">
                  <c:v>1.8187591850994535E-2</c:v>
                </c:pt>
                <c:pt idx="34">
                  <c:v>1.7671952671657769E-2</c:v>
                </c:pt>
                <c:pt idx="35">
                  <c:v>1.767325013956933E-2</c:v>
                </c:pt>
                <c:pt idx="36">
                  <c:v>1.7125737254658165E-2</c:v>
                </c:pt>
                <c:pt idx="37">
                  <c:v>1.7126955865313726E-2</c:v>
                </c:pt>
                <c:pt idx="38">
                  <c:v>1.6560372373397702E-2</c:v>
                </c:pt>
                <c:pt idx="39">
                  <c:v>1.6558806369365287E-2</c:v>
                </c:pt>
                <c:pt idx="40">
                  <c:v>1.6132167123689704E-2</c:v>
                </c:pt>
                <c:pt idx="41">
                  <c:v>1.6131690030108659E-2</c:v>
                </c:pt>
                <c:pt idx="42">
                  <c:v>1.5988801686865464E-2</c:v>
                </c:pt>
                <c:pt idx="43">
                  <c:v>1.5989864065144337E-2</c:v>
                </c:pt>
                <c:pt idx="44">
                  <c:v>1.5287765120973832E-2</c:v>
                </c:pt>
                <c:pt idx="45">
                  <c:v>1.5288736492284665E-2</c:v>
                </c:pt>
                <c:pt idx="46">
                  <c:v>1.5225088658388475E-2</c:v>
                </c:pt>
                <c:pt idx="47">
                  <c:v>1.522573092883641E-2</c:v>
                </c:pt>
                <c:pt idx="48">
                  <c:v>1.4615854796692135E-2</c:v>
                </c:pt>
                <c:pt idx="49">
                  <c:v>1.4616742757023038E-2</c:v>
                </c:pt>
                <c:pt idx="50">
                  <c:v>1.4481114610882528E-2</c:v>
                </c:pt>
                <c:pt idx="51">
                  <c:v>1.4480931425173319E-2</c:v>
                </c:pt>
                <c:pt idx="52">
                  <c:v>1.4287051405231928E-2</c:v>
                </c:pt>
                <c:pt idx="53">
                  <c:v>1.4287899908973308E-2</c:v>
                </c:pt>
                <c:pt idx="54">
                  <c:v>1.4043116978852264E-2</c:v>
                </c:pt>
                <c:pt idx="55">
                  <c:v>1.4042314216042852E-2</c:v>
                </c:pt>
                <c:pt idx="56">
                  <c:v>1.3820214516644318E-2</c:v>
                </c:pt>
                <c:pt idx="57">
                  <c:v>1.3821008536522211E-2</c:v>
                </c:pt>
                <c:pt idx="58">
                  <c:v>1.3524959786484611E-2</c:v>
                </c:pt>
                <c:pt idx="59">
                  <c:v>1.3525720278763571E-2</c:v>
                </c:pt>
                <c:pt idx="60">
                  <c:v>1.3235788119398274E-2</c:v>
                </c:pt>
                <c:pt idx="61">
                  <c:v>1.3236516474326106E-2</c:v>
                </c:pt>
                <c:pt idx="62">
                  <c:v>1.3236030898440179E-2</c:v>
                </c:pt>
                <c:pt idx="63">
                  <c:v>1.323651647432654E-2</c:v>
                </c:pt>
                <c:pt idx="64">
                  <c:v>1.3235788119397834E-2</c:v>
                </c:pt>
                <c:pt idx="65">
                  <c:v>1.3236516474326106E-2</c:v>
                </c:pt>
                <c:pt idx="66">
                  <c:v>1.3235788119398274E-2</c:v>
                </c:pt>
                <c:pt idx="67">
                  <c:v>1.323651647432654E-2</c:v>
                </c:pt>
                <c:pt idx="68">
                  <c:v>1.3235788119397834E-2</c:v>
                </c:pt>
                <c:pt idx="69">
                  <c:v>1.323651647432654E-2</c:v>
                </c:pt>
                <c:pt idx="70">
                  <c:v>1.2233995036211087E-2</c:v>
                </c:pt>
                <c:pt idx="71">
                  <c:v>1.2234409942854206E-2</c:v>
                </c:pt>
                <c:pt idx="72">
                  <c:v>1.2233787589921465E-2</c:v>
                </c:pt>
                <c:pt idx="73">
                  <c:v>1.2234409942853771E-2</c:v>
                </c:pt>
                <c:pt idx="74">
                  <c:v>1.2233787589921465E-2</c:v>
                </c:pt>
                <c:pt idx="75">
                  <c:v>1.2234409942853771E-2</c:v>
                </c:pt>
                <c:pt idx="76">
                  <c:v>1.2233787589921025E-2</c:v>
                </c:pt>
                <c:pt idx="77">
                  <c:v>1.2234409942853771E-2</c:v>
                </c:pt>
                <c:pt idx="78">
                  <c:v>1.2233995036211087E-2</c:v>
                </c:pt>
                <c:pt idx="79">
                  <c:v>1.2234409942853771E-2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391616"/>
        <c:axId val="41393536"/>
      </c:scatterChart>
      <c:valAx>
        <c:axId val="41391616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low"/>
        <c:txPr>
          <a:bodyPr/>
          <a:lstStyle/>
          <a:p>
            <a:pPr>
              <a:defRPr b="1"/>
            </a:pPr>
            <a:endParaRPr lang="it-IT"/>
          </a:p>
        </c:txPr>
        <c:crossAx val="41393536"/>
        <c:crosses val="autoZero"/>
        <c:crossBetween val="midCat"/>
      </c:valAx>
      <c:valAx>
        <c:axId val="41393536"/>
        <c:scaling>
          <c:orientation val="minMax"/>
        </c:scaling>
        <c:delete val="0"/>
        <c:axPos val="l"/>
        <c:majorGridlines>
          <c:spPr>
            <a:ln w="6350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7030A0"/>
                    </a:solidFill>
                  </a:defRPr>
                </a:pPr>
                <a:r>
                  <a:rPr lang="it-IT" sz="1100">
                    <a:solidFill>
                      <a:srgbClr val="7030A0"/>
                    </a:solidFill>
                  </a:rPr>
                  <a:t>Rates</a:t>
                </a:r>
              </a:p>
            </c:rich>
          </c:tx>
          <c:overlay val="0"/>
        </c:title>
        <c:numFmt formatCode="0.00%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7030A0"/>
                </a:solidFill>
              </a:defRPr>
            </a:pPr>
            <a:endParaRPr lang="it-IT"/>
          </a:p>
        </c:txPr>
        <c:crossAx val="41391616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txPr>
        <a:bodyPr/>
        <a:lstStyle/>
        <a:p>
          <a:pPr>
            <a:defRPr sz="1200"/>
          </a:pPr>
          <a:endParaRPr lang="it-IT"/>
        </a:p>
      </c:txPr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Discount Factor</c:v>
          </c:tx>
          <c:marker>
            <c:symbol val="none"/>
          </c:marker>
          <c:xVal>
            <c:numRef>
              <c:f>'10.CurvaGovernativa'!$A$3:$A$81</c:f>
              <c:numCache>
                <c:formatCode>m/d/yyyy</c:formatCode>
                <c:ptCount val="79"/>
                <c:pt idx="0">
                  <c:v>43021</c:v>
                </c:pt>
                <c:pt idx="1">
                  <c:v>43525</c:v>
                </c:pt>
                <c:pt idx="2">
                  <c:v>44136</c:v>
                </c:pt>
                <c:pt idx="3">
                  <c:v>44545</c:v>
                </c:pt>
                <c:pt idx="4">
                  <c:v>44666</c:v>
                </c:pt>
                <c:pt idx="5">
                  <c:v>44819</c:v>
                </c:pt>
                <c:pt idx="6">
                  <c:v>45047</c:v>
                </c:pt>
                <c:pt idx="7">
                  <c:v>45139</c:v>
                </c:pt>
                <c:pt idx="8">
                  <c:v>45352</c:v>
                </c:pt>
                <c:pt idx="9">
                  <c:v>45536</c:v>
                </c:pt>
                <c:pt idx="10">
                  <c:v>45717</c:v>
                </c:pt>
                <c:pt idx="11">
                  <c:v>45992</c:v>
                </c:pt>
                <c:pt idx="12">
                  <c:v>46082</c:v>
                </c:pt>
                <c:pt idx="13">
                  <c:v>46357</c:v>
                </c:pt>
                <c:pt idx="14">
                  <c:v>46997</c:v>
                </c:pt>
                <c:pt idx="15">
                  <c:v>47543</c:v>
                </c:pt>
                <c:pt idx="16">
                  <c:v>48274</c:v>
                </c:pt>
                <c:pt idx="17">
                  <c:v>49157</c:v>
                </c:pt>
                <c:pt idx="18">
                  <c:v>49919</c:v>
                </c:pt>
                <c:pt idx="19">
                  <c:v>51380</c:v>
                </c:pt>
                <c:pt idx="20">
                  <c:v>52841</c:v>
                </c:pt>
                <c:pt idx="21">
                  <c:v>53571</c:v>
                </c:pt>
                <c:pt idx="22">
                  <c:v>53752</c:v>
                </c:pt>
              </c:numCache>
            </c:numRef>
          </c:xVal>
          <c:yVal>
            <c:numRef>
              <c:f>'10.CurvaGovernativa'!$D$3:$D$81</c:f>
              <c:numCache>
                <c:formatCode>General</c:formatCode>
                <c:ptCount val="79"/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88384"/>
        <c:axId val="41490304"/>
      </c:scatterChart>
      <c:valAx>
        <c:axId val="41488384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it-IT"/>
          </a:p>
        </c:txPr>
        <c:crossAx val="41490304"/>
        <c:crosses val="autoZero"/>
        <c:crossBetween val="midCat"/>
      </c:valAx>
      <c:valAx>
        <c:axId val="41490304"/>
        <c:scaling>
          <c:orientation val="minMax"/>
        </c:scaling>
        <c:delete val="0"/>
        <c:axPos val="l"/>
        <c:majorGridlines>
          <c:spPr>
            <a:ln w="3175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FF0000"/>
                    </a:solidFill>
                  </a:defRPr>
                </a:pPr>
                <a:r>
                  <a:rPr lang="it-IT" sz="1100">
                    <a:solidFill>
                      <a:srgbClr val="FF0000"/>
                    </a:solidFill>
                  </a:rPr>
                  <a:t>Df</a:t>
                </a:r>
              </a:p>
            </c:rich>
          </c:tx>
          <c:overlay val="0"/>
        </c:title>
        <c:numFmt formatCode="#,##0.00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FF0000"/>
                </a:solidFill>
              </a:defRPr>
            </a:pPr>
            <a:endParaRPr lang="it-IT"/>
          </a:p>
        </c:txPr>
        <c:crossAx val="41488384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it-IT"/>
              <a:t>Rates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3215266841644793"/>
          <c:y val="0.12329870224555264"/>
          <c:w val="0.79700021872265969"/>
          <c:h val="0.70053623505395157"/>
        </c:manualLayout>
      </c:layout>
      <c:scatterChart>
        <c:scatterStyle val="smoothMarker"/>
        <c:varyColors val="0"/>
        <c:ser>
          <c:idx val="1"/>
          <c:order val="0"/>
          <c:tx>
            <c:v>Rates</c:v>
          </c:tx>
          <c:marker>
            <c:symbol val="none"/>
          </c:marker>
          <c:xVal>
            <c:numRef>
              <c:f>'10.CurvaGovernativa'!$A$3:$A$81</c:f>
              <c:numCache>
                <c:formatCode>m/d/yyyy</c:formatCode>
                <c:ptCount val="79"/>
                <c:pt idx="0">
                  <c:v>43021</c:v>
                </c:pt>
                <c:pt idx="1">
                  <c:v>43525</c:v>
                </c:pt>
                <c:pt idx="2">
                  <c:v>44136</c:v>
                </c:pt>
                <c:pt idx="3">
                  <c:v>44545</c:v>
                </c:pt>
                <c:pt idx="4">
                  <c:v>44666</c:v>
                </c:pt>
                <c:pt idx="5">
                  <c:v>44819</c:v>
                </c:pt>
                <c:pt idx="6">
                  <c:v>45047</c:v>
                </c:pt>
                <c:pt idx="7">
                  <c:v>45139</c:v>
                </c:pt>
                <c:pt idx="8">
                  <c:v>45352</c:v>
                </c:pt>
                <c:pt idx="9">
                  <c:v>45536</c:v>
                </c:pt>
                <c:pt idx="10">
                  <c:v>45717</c:v>
                </c:pt>
                <c:pt idx="11">
                  <c:v>45992</c:v>
                </c:pt>
                <c:pt idx="12">
                  <c:v>46082</c:v>
                </c:pt>
                <c:pt idx="13">
                  <c:v>46357</c:v>
                </c:pt>
                <c:pt idx="14">
                  <c:v>46997</c:v>
                </c:pt>
                <c:pt idx="15">
                  <c:v>47543</c:v>
                </c:pt>
                <c:pt idx="16">
                  <c:v>48274</c:v>
                </c:pt>
                <c:pt idx="17">
                  <c:v>49157</c:v>
                </c:pt>
                <c:pt idx="18">
                  <c:v>49919</c:v>
                </c:pt>
                <c:pt idx="19">
                  <c:v>51380</c:v>
                </c:pt>
                <c:pt idx="20">
                  <c:v>52841</c:v>
                </c:pt>
                <c:pt idx="21">
                  <c:v>53571</c:v>
                </c:pt>
                <c:pt idx="22">
                  <c:v>53752</c:v>
                </c:pt>
              </c:numCache>
            </c:numRef>
          </c:xVal>
          <c:yVal>
            <c:numRef>
              <c:f>'10.CurvaGovernativa'!$B$3:$B$81</c:f>
              <c:numCache>
                <c:formatCode>0.00000%</c:formatCode>
                <c:ptCount val="79"/>
                <c:pt idx="0">
                  <c:v>-3.1083372649529711E-3</c:v>
                </c:pt>
                <c:pt idx="1">
                  <c:v>1.5132020213876299E-3</c:v>
                </c:pt>
                <c:pt idx="2">
                  <c:v>5.5458861465540969E-3</c:v>
                </c:pt>
                <c:pt idx="3">
                  <c:v>1.0467666728504573E-2</c:v>
                </c:pt>
                <c:pt idx="4">
                  <c:v>1.163030628410237E-2</c:v>
                </c:pt>
                <c:pt idx="5">
                  <c:v>1.2683769700516349E-2</c:v>
                </c:pt>
                <c:pt idx="6">
                  <c:v>1.6099561185425354E-2</c:v>
                </c:pt>
                <c:pt idx="7">
                  <c:v>1.6227577210687013E-2</c:v>
                </c:pt>
                <c:pt idx="8">
                  <c:v>1.8812015700099327E-2</c:v>
                </c:pt>
                <c:pt idx="9">
                  <c:v>1.9738595859900739E-2</c:v>
                </c:pt>
                <c:pt idx="10">
                  <c:v>2.0830222683941631E-2</c:v>
                </c:pt>
                <c:pt idx="11">
                  <c:v>2.1166833173872662E-2</c:v>
                </c:pt>
                <c:pt idx="12">
                  <c:v>2.2913203647556637E-2</c:v>
                </c:pt>
                <c:pt idx="13">
                  <c:v>2.1891922011841047E-2</c:v>
                </c:pt>
                <c:pt idx="14">
                  <c:v>2.6829851919542617E-2</c:v>
                </c:pt>
                <c:pt idx="15">
                  <c:v>2.6833058127791191E-2</c:v>
                </c:pt>
                <c:pt idx="16">
                  <c:v>2.5370052311497908E-2</c:v>
                </c:pt>
                <c:pt idx="17">
                  <c:v>3.1039219394172816E-2</c:v>
                </c:pt>
                <c:pt idx="18">
                  <c:v>2.8658253568837961E-2</c:v>
                </c:pt>
                <c:pt idx="19">
                  <c:v>3.6805289590730844E-2</c:v>
                </c:pt>
                <c:pt idx="20">
                  <c:v>3.7251260450441581E-2</c:v>
                </c:pt>
                <c:pt idx="21">
                  <c:v>3.4286082247786766E-2</c:v>
                </c:pt>
                <c:pt idx="22">
                  <c:v>3.39312452717326E-2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543552"/>
        <c:axId val="41553920"/>
      </c:scatterChart>
      <c:valAx>
        <c:axId val="41543552"/>
        <c:scaling>
          <c:orientation val="minMax"/>
          <c:min val="420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it-IT"/>
                  <a:t>Dates</a:t>
                </a:r>
              </a:p>
            </c:rich>
          </c:tx>
          <c:overlay val="0"/>
        </c:title>
        <c:numFmt formatCode="m/d/yyyy" sourceLinked="1"/>
        <c:majorTickMark val="out"/>
        <c:minorTickMark val="none"/>
        <c:tickLblPos val="low"/>
        <c:txPr>
          <a:bodyPr/>
          <a:lstStyle/>
          <a:p>
            <a:pPr>
              <a:defRPr b="1"/>
            </a:pPr>
            <a:endParaRPr lang="it-IT"/>
          </a:p>
        </c:txPr>
        <c:crossAx val="41553920"/>
        <c:crosses val="autoZero"/>
        <c:crossBetween val="midCat"/>
      </c:valAx>
      <c:valAx>
        <c:axId val="41553920"/>
        <c:scaling>
          <c:orientation val="minMax"/>
        </c:scaling>
        <c:delete val="0"/>
        <c:axPos val="l"/>
        <c:majorGridlines>
          <c:spPr>
            <a:ln w="6350">
              <a:prstDash val="sysDash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100">
                    <a:solidFill>
                      <a:srgbClr val="7030A0"/>
                    </a:solidFill>
                  </a:defRPr>
                </a:pPr>
                <a:r>
                  <a:rPr lang="it-IT" sz="1100">
                    <a:solidFill>
                      <a:srgbClr val="7030A0"/>
                    </a:solidFill>
                  </a:rPr>
                  <a:t>Rates</a:t>
                </a:r>
              </a:p>
            </c:rich>
          </c:tx>
          <c:overlay val="0"/>
        </c:title>
        <c:numFmt formatCode="0.00%" sourceLinked="0"/>
        <c:majorTickMark val="out"/>
        <c:minorTickMark val="none"/>
        <c:tickLblPos val="nextTo"/>
        <c:txPr>
          <a:bodyPr/>
          <a:lstStyle/>
          <a:p>
            <a:pPr>
              <a:defRPr b="1">
                <a:solidFill>
                  <a:srgbClr val="7030A0"/>
                </a:solidFill>
              </a:defRPr>
            </a:pPr>
            <a:endParaRPr lang="it-IT"/>
          </a:p>
        </c:txPr>
        <c:crossAx val="41543552"/>
        <c:crosses val="autoZero"/>
        <c:crossBetween val="midCat"/>
      </c:valAx>
      <c:spPr>
        <a:gradFill>
          <a:gsLst>
            <a:gs pos="0">
              <a:srgbClr val="FFEFD1"/>
            </a:gs>
            <a:gs pos="64999">
              <a:srgbClr val="F0EBD5"/>
            </a:gs>
            <a:gs pos="100000">
              <a:srgbClr val="D1C39F"/>
            </a:gs>
          </a:gsLst>
          <a:lin ang="5400000" scaled="0"/>
        </a:gradFill>
      </c:spPr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481012</xdr:colOff>
      <xdr:row>2</xdr:row>
      <xdr:rowOff>14287</xdr:rowOff>
    </xdr:from>
    <xdr:to>
      <xdr:col>24</xdr:col>
      <xdr:colOff>176212</xdr:colOff>
      <xdr:row>16</xdr:row>
      <xdr:rowOff>90487</xdr:rowOff>
    </xdr:to>
    <xdr:graphicFrame macro="">
      <xdr:nvGraphicFramePr>
        <xdr:cNvPr id="2" name="Gra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466725</xdr:colOff>
      <xdr:row>16</xdr:row>
      <xdr:rowOff>138112</xdr:rowOff>
    </xdr:from>
    <xdr:to>
      <xdr:col>24</xdr:col>
      <xdr:colOff>161925</xdr:colOff>
      <xdr:row>31</xdr:row>
      <xdr:rowOff>23812</xdr:rowOff>
    </xdr:to>
    <xdr:graphicFrame macro="">
      <xdr:nvGraphicFramePr>
        <xdr:cNvPr id="3" name="Gra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428625</xdr:colOff>
      <xdr:row>31</xdr:row>
      <xdr:rowOff>138112</xdr:rowOff>
    </xdr:from>
    <xdr:to>
      <xdr:col>24</xdr:col>
      <xdr:colOff>123825</xdr:colOff>
      <xdr:row>46</xdr:row>
      <xdr:rowOff>23812</xdr:rowOff>
    </xdr:to>
    <xdr:graphicFrame macro="">
      <xdr:nvGraphicFramePr>
        <xdr:cNvPr id="4" name="Gra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152402</xdr:colOff>
      <xdr:row>23</xdr:row>
      <xdr:rowOff>186926</xdr:rowOff>
    </xdr:from>
    <xdr:to>
      <xdr:col>8</xdr:col>
      <xdr:colOff>2343151</xdr:colOff>
      <xdr:row>31</xdr:row>
      <xdr:rowOff>28575</xdr:rowOff>
    </xdr:to>
    <xdr:graphicFrame macro="">
      <xdr:nvGraphicFramePr>
        <xdr:cNvPr id="2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152400</xdr:colOff>
      <xdr:row>7</xdr:row>
      <xdr:rowOff>66675</xdr:rowOff>
    </xdr:from>
    <xdr:to>
      <xdr:col>8</xdr:col>
      <xdr:colOff>2366962</xdr:colOff>
      <xdr:row>23</xdr:row>
      <xdr:rowOff>122635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152402</xdr:colOff>
      <xdr:row>23</xdr:row>
      <xdr:rowOff>186926</xdr:rowOff>
    </xdr:from>
    <xdr:to>
      <xdr:col>8</xdr:col>
      <xdr:colOff>2343151</xdr:colOff>
      <xdr:row>31</xdr:row>
      <xdr:rowOff>28575</xdr:rowOff>
    </xdr:to>
    <xdr:graphicFrame macro="">
      <xdr:nvGraphicFramePr>
        <xdr:cNvPr id="2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152400</xdr:colOff>
      <xdr:row>7</xdr:row>
      <xdr:rowOff>66675</xdr:rowOff>
    </xdr:from>
    <xdr:to>
      <xdr:col>8</xdr:col>
      <xdr:colOff>2366962</xdr:colOff>
      <xdr:row>23</xdr:row>
      <xdr:rowOff>122635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152402</xdr:colOff>
      <xdr:row>23</xdr:row>
      <xdr:rowOff>186926</xdr:rowOff>
    </xdr:from>
    <xdr:to>
      <xdr:col>8</xdr:col>
      <xdr:colOff>2343151</xdr:colOff>
      <xdr:row>31</xdr:row>
      <xdr:rowOff>28575</xdr:rowOff>
    </xdr:to>
    <xdr:graphicFrame macro="">
      <xdr:nvGraphicFramePr>
        <xdr:cNvPr id="2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152400</xdr:colOff>
      <xdr:row>7</xdr:row>
      <xdr:rowOff>66675</xdr:rowOff>
    </xdr:from>
    <xdr:to>
      <xdr:col>8</xdr:col>
      <xdr:colOff>2366962</xdr:colOff>
      <xdr:row>23</xdr:row>
      <xdr:rowOff>122635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QuantLibXL-1.8.0/StandaloneExamples/Analytics/Bond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rmStructures"/>
      <sheetName val="DateCalc"/>
      <sheetName val="PricingEngines"/>
      <sheetName val="Bonds"/>
      <sheetName val="Pricing"/>
      <sheetName val="FlowAnalysi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B128"/>
  <sheetViews>
    <sheetView workbookViewId="0">
      <selection activeCell="A25" sqref="A25:XFD25"/>
    </sheetView>
  </sheetViews>
  <sheetFormatPr defaultRowHeight="15" x14ac:dyDescent="0.25"/>
  <cols>
    <col min="1" max="1" width="18" customWidth="1"/>
    <col min="2" max="2" width="7.28515625" bestFit="1" customWidth="1"/>
    <col min="3" max="3" width="13.7109375" customWidth="1"/>
  </cols>
  <sheetData>
    <row r="1" spans="1:28" ht="39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481</v>
      </c>
      <c r="L1" s="1" t="s">
        <v>11</v>
      </c>
      <c r="M1" s="1" t="s">
        <v>482</v>
      </c>
      <c r="N1" s="2" t="s">
        <v>483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484</v>
      </c>
      <c r="T1" s="1" t="s">
        <v>485</v>
      </c>
      <c r="U1" s="2" t="s">
        <v>486</v>
      </c>
      <c r="V1" s="1" t="s">
        <v>487</v>
      </c>
      <c r="W1" s="2" t="s">
        <v>488</v>
      </c>
      <c r="X1" s="1" t="s">
        <v>489</v>
      </c>
      <c r="Y1" s="1" t="s">
        <v>490</v>
      </c>
      <c r="Z1" s="58" t="s">
        <v>491</v>
      </c>
      <c r="AA1" s="58" t="s">
        <v>492</v>
      </c>
      <c r="AB1" s="58" t="s">
        <v>493</v>
      </c>
    </row>
    <row r="2" spans="1:28" x14ac:dyDescent="0.25">
      <c r="A2" s="3" t="s">
        <v>30</v>
      </c>
      <c r="B2" s="4">
        <v>0.16200000000000001</v>
      </c>
      <c r="C2" s="5">
        <v>42853</v>
      </c>
      <c r="D2" s="6">
        <v>42794</v>
      </c>
      <c r="E2" s="7">
        <v>1.000797028</v>
      </c>
      <c r="F2" s="7">
        <v>-0.49268415199999999</v>
      </c>
      <c r="G2" s="7">
        <v>-0.491667778</v>
      </c>
      <c r="H2" s="7">
        <v>-0.49268499999999998</v>
      </c>
      <c r="I2" s="7">
        <v>-0.49166799999999999</v>
      </c>
      <c r="J2" s="8" t="s">
        <v>19</v>
      </c>
      <c r="K2" s="8"/>
      <c r="L2" s="7">
        <v>0</v>
      </c>
      <c r="M2" s="7">
        <v>100.077</v>
      </c>
      <c r="N2" s="7">
        <v>100.077</v>
      </c>
      <c r="O2" s="8" t="s">
        <v>494</v>
      </c>
      <c r="P2" s="8" t="s">
        <v>495</v>
      </c>
      <c r="Q2" s="8" t="s">
        <v>496</v>
      </c>
      <c r="R2" s="8" t="s">
        <v>23</v>
      </c>
      <c r="S2" s="7">
        <v>0</v>
      </c>
      <c r="T2" s="59">
        <v>0</v>
      </c>
      <c r="U2" s="7">
        <v>0</v>
      </c>
      <c r="V2" s="8" t="s">
        <v>497</v>
      </c>
      <c r="W2" s="7">
        <v>100</v>
      </c>
      <c r="X2" s="8"/>
      <c r="Y2" s="8"/>
      <c r="Z2" s="60">
        <f>-LN(E2)/(YEARFRAC(D2,C2,3))</f>
        <v>-4.9288025046928616E-3</v>
      </c>
      <c r="AA2" s="53">
        <f>+Z2+$AE$1</f>
        <v>-4.9288025046928616E-3</v>
      </c>
      <c r="AB2">
        <f>EXP(-AA2*YEARFRAC(D2,C2,3))</f>
        <v>1.000797028</v>
      </c>
    </row>
    <row r="3" spans="1:28" x14ac:dyDescent="0.25">
      <c r="A3" s="3" t="s">
        <v>33</v>
      </c>
      <c r="B3" s="4">
        <v>0.41899999999999998</v>
      </c>
      <c r="C3" s="5">
        <v>42947</v>
      </c>
      <c r="D3" s="6">
        <v>42794</v>
      </c>
      <c r="E3" s="7">
        <v>1.0014570460000001</v>
      </c>
      <c r="F3" s="7">
        <v>-0.34709024599999999</v>
      </c>
      <c r="G3" s="7">
        <v>-0.34674044900000001</v>
      </c>
      <c r="H3" s="7">
        <v>-0.34709099999999998</v>
      </c>
      <c r="I3" s="7">
        <v>-0.34674100000000002</v>
      </c>
      <c r="J3" s="8" t="s">
        <v>19</v>
      </c>
      <c r="K3" s="8"/>
      <c r="L3" s="7">
        <v>0</v>
      </c>
      <c r="M3" s="7">
        <v>100.143</v>
      </c>
      <c r="N3" s="7">
        <v>100.143</v>
      </c>
      <c r="O3" s="8" t="s">
        <v>494</v>
      </c>
      <c r="P3" s="8" t="s">
        <v>495</v>
      </c>
      <c r="Q3" s="8" t="s">
        <v>496</v>
      </c>
      <c r="R3" s="8" t="s">
        <v>23</v>
      </c>
      <c r="S3" s="7">
        <v>0</v>
      </c>
      <c r="T3" s="59">
        <v>0</v>
      </c>
      <c r="U3" s="7">
        <v>0</v>
      </c>
      <c r="V3" s="8" t="s">
        <v>497</v>
      </c>
      <c r="W3" s="7">
        <v>100</v>
      </c>
      <c r="X3" s="8"/>
      <c r="Y3" s="8"/>
      <c r="Z3" s="60">
        <f t="shared" ref="Z3:Z66" si="0">-LN(E3)/(YEARFRAC(D3,C3,3))</f>
        <v>-3.4734295525024063E-3</v>
      </c>
      <c r="AA3" s="53">
        <f t="shared" ref="AA3:AA66" si="1">+Z3+$AE$1</f>
        <v>-3.4734295525024063E-3</v>
      </c>
      <c r="AB3">
        <f t="shared" ref="AB3:AB66" si="2">EXP(-AA3*YEARFRAC(D3,C3,3))</f>
        <v>1.0014570460000001</v>
      </c>
    </row>
    <row r="4" spans="1:28" ht="30.75" x14ac:dyDescent="0.25">
      <c r="A4" s="3" t="s">
        <v>498</v>
      </c>
      <c r="B4" s="4">
        <v>0.622</v>
      </c>
      <c r="C4" s="5">
        <v>43021</v>
      </c>
      <c r="D4" s="6">
        <v>42794</v>
      </c>
      <c r="E4" s="7">
        <v>1.00196204</v>
      </c>
      <c r="F4" s="7">
        <v>-0.314864423</v>
      </c>
      <c r="G4" s="7">
        <v>-0.31467696000000001</v>
      </c>
      <c r="H4" s="7">
        <v>-0.31486500000000001</v>
      </c>
      <c r="I4" s="7">
        <v>-0.31467699999999998</v>
      </c>
      <c r="J4" s="8" t="s">
        <v>19</v>
      </c>
      <c r="K4" s="8"/>
      <c r="L4" s="7">
        <v>0</v>
      </c>
      <c r="M4" s="7">
        <v>100.1935</v>
      </c>
      <c r="N4" s="7">
        <v>100.1935</v>
      </c>
      <c r="O4" s="8" t="s">
        <v>494</v>
      </c>
      <c r="P4" s="8" t="s">
        <v>495</v>
      </c>
      <c r="Q4" s="8" t="s">
        <v>496</v>
      </c>
      <c r="R4" s="8" t="s">
        <v>23</v>
      </c>
      <c r="S4" s="7">
        <v>-0.15</v>
      </c>
      <c r="T4" s="59">
        <v>1</v>
      </c>
      <c r="U4" s="7">
        <v>0</v>
      </c>
      <c r="V4" s="8" t="s">
        <v>497</v>
      </c>
      <c r="W4" s="7">
        <v>100.15</v>
      </c>
      <c r="X4" s="8"/>
      <c r="Y4" s="8"/>
      <c r="Z4" s="60">
        <f t="shared" si="0"/>
        <v>-3.1517311252481674E-3</v>
      </c>
      <c r="AA4" s="53">
        <f t="shared" si="1"/>
        <v>-3.1517311252481674E-3</v>
      </c>
      <c r="AB4">
        <f t="shared" si="2"/>
        <v>1.00196204</v>
      </c>
    </row>
    <row r="5" spans="1:28" x14ac:dyDescent="0.25">
      <c r="A5" s="3" t="s">
        <v>38</v>
      </c>
      <c r="B5" s="4">
        <v>0.871</v>
      </c>
      <c r="C5" s="5">
        <v>43112</v>
      </c>
      <c r="D5" s="6">
        <v>42794</v>
      </c>
      <c r="E5" s="7">
        <v>1.002737081</v>
      </c>
      <c r="F5" s="7">
        <v>-0.31330424000000001</v>
      </c>
      <c r="G5" s="7">
        <v>-0.313240992</v>
      </c>
      <c r="H5" s="7">
        <v>-0.313305</v>
      </c>
      <c r="I5" s="7">
        <v>-0.31324099999999999</v>
      </c>
      <c r="J5" s="8" t="s">
        <v>19</v>
      </c>
      <c r="K5" s="8"/>
      <c r="L5" s="7">
        <v>0</v>
      </c>
      <c r="M5" s="7">
        <v>100.271</v>
      </c>
      <c r="N5" s="7">
        <v>100.271</v>
      </c>
      <c r="O5" s="8" t="s">
        <v>494</v>
      </c>
      <c r="P5" s="8" t="s">
        <v>495</v>
      </c>
      <c r="Q5" s="8" t="s">
        <v>496</v>
      </c>
      <c r="R5" s="8" t="s">
        <v>23</v>
      </c>
      <c r="S5" s="7">
        <v>0</v>
      </c>
      <c r="T5" s="59">
        <v>0</v>
      </c>
      <c r="U5" s="7">
        <v>0</v>
      </c>
      <c r="V5" s="8" t="s">
        <v>497</v>
      </c>
      <c r="W5" s="7">
        <v>100</v>
      </c>
      <c r="X5" s="8"/>
      <c r="Y5" s="8"/>
      <c r="Z5" s="60">
        <f t="shared" si="0"/>
        <v>-3.1373265264779998E-3</v>
      </c>
      <c r="AA5" s="53">
        <f t="shared" si="1"/>
        <v>-3.1373265264779998E-3</v>
      </c>
      <c r="AB5">
        <f t="shared" si="2"/>
        <v>1.002737081</v>
      </c>
    </row>
    <row r="6" spans="1:28" hidden="1" x14ac:dyDescent="0.25">
      <c r="A6" s="3" t="s">
        <v>499</v>
      </c>
      <c r="B6" s="4">
        <v>1</v>
      </c>
      <c r="C6" s="5">
        <v>43159</v>
      </c>
      <c r="D6" s="6">
        <v>42794</v>
      </c>
      <c r="E6" s="7">
        <v>1.0022292129999999</v>
      </c>
      <c r="F6" s="7">
        <v>-0.222425503</v>
      </c>
      <c r="G6" s="7">
        <v>-0.222425503</v>
      </c>
      <c r="H6" s="7">
        <v>-0.22248899999999999</v>
      </c>
      <c r="I6" s="7">
        <v>-0.22236500000000001</v>
      </c>
      <c r="J6" s="8"/>
      <c r="K6" s="8"/>
      <c r="L6" s="7"/>
      <c r="M6" s="7"/>
      <c r="N6" s="7"/>
      <c r="O6" s="8"/>
      <c r="P6" s="8"/>
      <c r="Q6" s="8"/>
      <c r="R6" s="8"/>
      <c r="S6" s="7"/>
      <c r="T6" s="59"/>
      <c r="U6" s="7"/>
      <c r="V6" s="8"/>
      <c r="W6" s="7"/>
      <c r="X6" s="8"/>
      <c r="Y6" s="8"/>
      <c r="Z6" s="60">
        <f t="shared" si="0"/>
        <v>-2.2267319911475334E-3</v>
      </c>
      <c r="AA6" s="53">
        <f t="shared" si="1"/>
        <v>-2.2267319911475334E-3</v>
      </c>
      <c r="AB6">
        <f t="shared" si="2"/>
        <v>1.0022292129999999</v>
      </c>
    </row>
    <row r="7" spans="1:28" ht="21" hidden="1" x14ac:dyDescent="0.25">
      <c r="A7" s="3" t="s">
        <v>500</v>
      </c>
      <c r="B7" s="4">
        <v>1.504</v>
      </c>
      <c r="C7" s="5">
        <v>43343</v>
      </c>
      <c r="D7" s="6">
        <v>42794</v>
      </c>
      <c r="E7" s="7">
        <v>1.00024344</v>
      </c>
      <c r="F7" s="7">
        <v>-1.6181067E-2</v>
      </c>
      <c r="G7" s="7">
        <v>-1.6181727E-2</v>
      </c>
      <c r="H7" s="7">
        <v>-1.6163E-2</v>
      </c>
      <c r="I7" s="7">
        <v>-1.6161999999999999E-2</v>
      </c>
      <c r="J7" s="8"/>
      <c r="K7" s="8"/>
      <c r="L7" s="7"/>
      <c r="M7" s="7"/>
      <c r="N7" s="7"/>
      <c r="O7" s="8"/>
      <c r="P7" s="8"/>
      <c r="Q7" s="8"/>
      <c r="R7" s="8"/>
      <c r="S7" s="7"/>
      <c r="T7" s="59"/>
      <c r="U7" s="7"/>
      <c r="V7" s="8"/>
      <c r="W7" s="7"/>
      <c r="X7" s="8"/>
      <c r="Y7" s="8"/>
      <c r="Z7" s="60">
        <f t="shared" si="0"/>
        <v>-1.6183021175104876E-4</v>
      </c>
      <c r="AA7" s="53">
        <f t="shared" si="1"/>
        <v>-1.6183021175104876E-4</v>
      </c>
      <c r="AB7">
        <f t="shared" si="2"/>
        <v>1.00024344</v>
      </c>
    </row>
    <row r="8" spans="1:28" x14ac:dyDescent="0.25">
      <c r="A8" s="3" t="s">
        <v>501</v>
      </c>
      <c r="B8" s="4">
        <v>1.627</v>
      </c>
      <c r="C8" s="5">
        <v>43388</v>
      </c>
      <c r="D8" s="6">
        <v>42794</v>
      </c>
      <c r="E8" s="7">
        <v>0.99975838800000005</v>
      </c>
      <c r="F8" s="7">
        <v>1.4850099E-2</v>
      </c>
      <c r="G8" s="7">
        <v>1.4849407E-2</v>
      </c>
      <c r="H8" s="7">
        <v>1.4827999999999999E-2</v>
      </c>
      <c r="I8" s="7">
        <v>1.4829E-2</v>
      </c>
      <c r="J8" s="8" t="s">
        <v>187</v>
      </c>
      <c r="K8" s="8"/>
      <c r="L8" s="7">
        <v>0</v>
      </c>
      <c r="M8" s="7">
        <v>100.46</v>
      </c>
      <c r="N8" s="7">
        <v>100.46</v>
      </c>
      <c r="O8" s="8" t="s">
        <v>502</v>
      </c>
      <c r="P8" s="8" t="s">
        <v>503</v>
      </c>
      <c r="Q8" s="8" t="s">
        <v>496</v>
      </c>
      <c r="R8" s="8" t="s">
        <v>504</v>
      </c>
      <c r="S8" s="7">
        <v>0.3</v>
      </c>
      <c r="T8" s="59">
        <v>0</v>
      </c>
      <c r="U8" s="7">
        <v>0</v>
      </c>
      <c r="V8" s="8" t="s">
        <v>497</v>
      </c>
      <c r="W8" s="7">
        <v>100</v>
      </c>
      <c r="X8" s="8"/>
      <c r="Y8" s="8"/>
      <c r="Z8" s="60">
        <f t="shared" si="0"/>
        <v>1.4848322458209536E-4</v>
      </c>
      <c r="AA8" s="53">
        <f t="shared" si="1"/>
        <v>1.4848322458209536E-4</v>
      </c>
      <c r="AB8">
        <f t="shared" si="2"/>
        <v>0.99975838800000005</v>
      </c>
    </row>
    <row r="9" spans="1:28" hidden="1" x14ac:dyDescent="0.25">
      <c r="A9" s="3" t="s">
        <v>505</v>
      </c>
      <c r="B9" s="4">
        <v>2</v>
      </c>
      <c r="C9" s="5">
        <v>43524</v>
      </c>
      <c r="D9" s="6">
        <v>42794</v>
      </c>
      <c r="E9" s="7">
        <v>0.99719174200000005</v>
      </c>
      <c r="F9" s="7">
        <v>0.14080832099999999</v>
      </c>
      <c r="G9" s="7">
        <v>0.140709326</v>
      </c>
      <c r="H9" s="7">
        <v>0.14036499999999999</v>
      </c>
      <c r="I9" s="7">
        <v>0.14041500000000001</v>
      </c>
      <c r="J9" s="8"/>
      <c r="K9" s="8"/>
      <c r="L9" s="7"/>
      <c r="M9" s="7"/>
      <c r="N9" s="7"/>
      <c r="O9" s="8"/>
      <c r="P9" s="8"/>
      <c r="Q9" s="8"/>
      <c r="R9" s="8"/>
      <c r="S9" s="7"/>
      <c r="T9" s="59"/>
      <c r="U9" s="7"/>
      <c r="V9" s="8"/>
      <c r="W9" s="7"/>
      <c r="X9" s="8"/>
      <c r="Y9" s="8"/>
      <c r="Z9" s="60">
        <f t="shared" si="0"/>
        <v>1.4061042771739583E-3</v>
      </c>
      <c r="AA9" s="53">
        <f t="shared" si="1"/>
        <v>1.4061042771739583E-3</v>
      </c>
      <c r="AB9">
        <f t="shared" si="2"/>
        <v>0.99719174200000005</v>
      </c>
    </row>
    <row r="10" spans="1:28" ht="21" x14ac:dyDescent="0.25">
      <c r="A10" s="3" t="s">
        <v>506</v>
      </c>
      <c r="B10" s="4">
        <v>2.0030000000000001</v>
      </c>
      <c r="C10" s="5">
        <v>43525</v>
      </c>
      <c r="D10" s="6">
        <v>42794</v>
      </c>
      <c r="E10" s="7">
        <v>0.99717289399999998</v>
      </c>
      <c r="F10" s="7">
        <v>0.14156213200000001</v>
      </c>
      <c r="G10" s="7">
        <v>0.141461801</v>
      </c>
      <c r="H10" s="7">
        <v>0.14111499999999999</v>
      </c>
      <c r="I10" s="7">
        <v>0.14116500000000001</v>
      </c>
      <c r="J10" s="8" t="s">
        <v>187</v>
      </c>
      <c r="K10" s="8"/>
      <c r="L10" s="7">
        <v>0</v>
      </c>
      <c r="M10" s="7">
        <v>108.705</v>
      </c>
      <c r="N10" s="7">
        <v>108.705</v>
      </c>
      <c r="O10" s="8" t="s">
        <v>502</v>
      </c>
      <c r="P10" s="8" t="s">
        <v>503</v>
      </c>
      <c r="Q10" s="8" t="s">
        <v>496</v>
      </c>
      <c r="R10" s="8" t="s">
        <v>504</v>
      </c>
      <c r="S10" s="7">
        <v>4.5</v>
      </c>
      <c r="T10" s="59">
        <v>1</v>
      </c>
      <c r="U10" s="7">
        <v>0</v>
      </c>
      <c r="V10" s="8" t="s">
        <v>497</v>
      </c>
      <c r="W10" s="7">
        <v>100</v>
      </c>
      <c r="X10" s="8"/>
      <c r="Y10" s="8"/>
      <c r="Z10" s="60">
        <f t="shared" si="0"/>
        <v>1.4136184424213669E-3</v>
      </c>
      <c r="AA10" s="53">
        <f t="shared" si="1"/>
        <v>1.4136184424213669E-3</v>
      </c>
      <c r="AB10">
        <f t="shared" si="2"/>
        <v>0.99717289399999998</v>
      </c>
    </row>
    <row r="11" spans="1:28" ht="21" hidden="1" x14ac:dyDescent="0.25">
      <c r="A11" s="3" t="s">
        <v>340</v>
      </c>
      <c r="B11" s="4">
        <v>2.5009999999999999</v>
      </c>
      <c r="C11" s="5">
        <v>43707</v>
      </c>
      <c r="D11" s="6">
        <v>42794</v>
      </c>
      <c r="E11" s="7">
        <v>0.99216570699999995</v>
      </c>
      <c r="F11" s="7">
        <v>0.31567319599999999</v>
      </c>
      <c r="G11" s="7">
        <v>0.31492827699999998</v>
      </c>
      <c r="H11" s="7">
        <v>0.313608</v>
      </c>
      <c r="I11" s="7">
        <v>0.31385299999999999</v>
      </c>
      <c r="J11" s="8"/>
      <c r="K11" s="8"/>
      <c r="L11" s="7"/>
      <c r="M11" s="7"/>
      <c r="N11" s="7"/>
      <c r="O11" s="8"/>
      <c r="P11" s="8"/>
      <c r="Q11" s="8"/>
      <c r="R11" s="8"/>
      <c r="S11" s="7"/>
      <c r="T11" s="59"/>
      <c r="U11" s="7"/>
      <c r="V11" s="8"/>
      <c r="W11" s="7"/>
      <c r="X11" s="8"/>
      <c r="Y11" s="8"/>
      <c r="Z11" s="60">
        <f t="shared" si="0"/>
        <v>3.1443339975322105E-3</v>
      </c>
      <c r="AA11" s="53">
        <f t="shared" si="1"/>
        <v>3.1443339975322105E-3</v>
      </c>
      <c r="AB11">
        <f t="shared" si="2"/>
        <v>0.99216570699999995</v>
      </c>
    </row>
    <row r="12" spans="1:28" ht="21" x14ac:dyDescent="0.25">
      <c r="A12" s="3" t="s">
        <v>507</v>
      </c>
      <c r="B12" s="4">
        <v>2.7559999999999998</v>
      </c>
      <c r="C12" s="5">
        <v>43800</v>
      </c>
      <c r="D12" s="6">
        <v>42794</v>
      </c>
      <c r="E12" s="7">
        <v>0.98961680299999999</v>
      </c>
      <c r="F12" s="7">
        <v>0.38067898999999999</v>
      </c>
      <c r="G12" s="7">
        <v>0.37941374</v>
      </c>
      <c r="H12" s="7">
        <v>0.37821700000000003</v>
      </c>
      <c r="I12" s="7">
        <v>0.378216</v>
      </c>
      <c r="J12" s="8" t="s">
        <v>187</v>
      </c>
      <c r="K12" s="8"/>
      <c r="L12" s="7">
        <v>0</v>
      </c>
      <c r="M12" s="7">
        <v>101.84</v>
      </c>
      <c r="N12" s="7">
        <v>101.84</v>
      </c>
      <c r="O12" s="8" t="s">
        <v>502</v>
      </c>
      <c r="P12" s="8" t="s">
        <v>503</v>
      </c>
      <c r="Q12" s="8" t="s">
        <v>496</v>
      </c>
      <c r="R12" s="8" t="s">
        <v>504</v>
      </c>
      <c r="S12" s="7">
        <v>1.05</v>
      </c>
      <c r="T12" s="59">
        <v>0</v>
      </c>
      <c r="U12" s="7">
        <v>0</v>
      </c>
      <c r="V12" s="8" t="s">
        <v>497</v>
      </c>
      <c r="W12" s="7">
        <v>100</v>
      </c>
      <c r="X12" s="8"/>
      <c r="Y12" s="8"/>
      <c r="Z12" s="60">
        <f t="shared" si="0"/>
        <v>3.7869578906648831E-3</v>
      </c>
      <c r="AA12" s="53">
        <f t="shared" si="1"/>
        <v>3.7869578906648831E-3</v>
      </c>
      <c r="AB12">
        <f t="shared" si="2"/>
        <v>0.98961680299999999</v>
      </c>
    </row>
    <row r="13" spans="1:28" hidden="1" x14ac:dyDescent="0.25">
      <c r="A13" s="3" t="s">
        <v>508</v>
      </c>
      <c r="B13" s="4">
        <v>3</v>
      </c>
      <c r="C13" s="5">
        <v>43889</v>
      </c>
      <c r="D13" s="6">
        <v>42794</v>
      </c>
      <c r="E13" s="7">
        <v>0.98703722599999999</v>
      </c>
      <c r="F13" s="7">
        <v>0.43776712600000001</v>
      </c>
      <c r="G13" s="7">
        <v>0.43586458700000003</v>
      </c>
      <c r="H13" s="7">
        <v>0.43349599999999999</v>
      </c>
      <c r="I13" s="7">
        <v>0.43396699999999999</v>
      </c>
      <c r="J13" s="8"/>
      <c r="K13" s="8"/>
      <c r="L13" s="7"/>
      <c r="M13" s="7"/>
      <c r="N13" s="7"/>
      <c r="O13" s="8"/>
      <c r="P13" s="8"/>
      <c r="Q13" s="8"/>
      <c r="R13" s="8"/>
      <c r="S13" s="7"/>
      <c r="T13" s="59"/>
      <c r="U13" s="7"/>
      <c r="V13" s="8"/>
      <c r="W13" s="7"/>
      <c r="X13" s="8"/>
      <c r="Y13" s="8"/>
      <c r="Z13" s="60">
        <f t="shared" si="0"/>
        <v>4.3491746492803187E-3</v>
      </c>
      <c r="AA13" s="53">
        <f t="shared" si="1"/>
        <v>4.3491746492803187E-3</v>
      </c>
      <c r="AB13">
        <f t="shared" si="2"/>
        <v>0.98703722599999999</v>
      </c>
    </row>
    <row r="14" spans="1:28" ht="21" hidden="1" x14ac:dyDescent="0.25">
      <c r="A14" s="3" t="s">
        <v>342</v>
      </c>
      <c r="B14" s="4">
        <v>3.5070000000000001</v>
      </c>
      <c r="C14" s="5">
        <v>44074</v>
      </c>
      <c r="D14" s="6">
        <v>42794</v>
      </c>
      <c r="E14" s="7">
        <v>0.98169667999999999</v>
      </c>
      <c r="F14" s="7">
        <v>0.53166178799999997</v>
      </c>
      <c r="G14" s="7">
        <v>0.52815609200000002</v>
      </c>
      <c r="H14" s="7">
        <v>0.52477300000000004</v>
      </c>
      <c r="I14" s="7">
        <v>0.52546199999999998</v>
      </c>
      <c r="J14" s="8"/>
      <c r="K14" s="8"/>
      <c r="L14" s="7"/>
      <c r="M14" s="7"/>
      <c r="N14" s="7"/>
      <c r="O14" s="8"/>
      <c r="P14" s="8"/>
      <c r="Q14" s="8"/>
      <c r="R14" s="8"/>
      <c r="S14" s="7"/>
      <c r="T14" s="59"/>
      <c r="U14" s="7"/>
      <c r="V14" s="8"/>
      <c r="W14" s="7"/>
      <c r="X14" s="8"/>
      <c r="Y14" s="8"/>
      <c r="Z14" s="60">
        <f t="shared" si="0"/>
        <v>5.2676623710533766E-3</v>
      </c>
      <c r="AA14" s="53">
        <f t="shared" si="1"/>
        <v>5.2676623710533766E-3</v>
      </c>
      <c r="AB14">
        <f t="shared" si="2"/>
        <v>0.98169667999999999</v>
      </c>
    </row>
    <row r="15" spans="1:28" ht="30.75" x14ac:dyDescent="0.25">
      <c r="A15" s="3" t="s">
        <v>509</v>
      </c>
      <c r="B15" s="4">
        <v>3.677</v>
      </c>
      <c r="C15" s="5">
        <v>44136</v>
      </c>
      <c r="D15" s="6">
        <v>42794</v>
      </c>
      <c r="E15" s="7">
        <v>0.97991334799999996</v>
      </c>
      <c r="F15" s="7">
        <v>0.55751972599999999</v>
      </c>
      <c r="G15" s="7">
        <v>0.55340817899999994</v>
      </c>
      <c r="H15" s="7">
        <v>0.55121399999999998</v>
      </c>
      <c r="I15" s="7">
        <v>0.55159000000000002</v>
      </c>
      <c r="J15" s="8" t="s">
        <v>187</v>
      </c>
      <c r="K15" s="8"/>
      <c r="L15" s="7">
        <v>0</v>
      </c>
      <c r="M15" s="7">
        <v>100.355</v>
      </c>
      <c r="N15" s="7">
        <v>100.355</v>
      </c>
      <c r="O15" s="8" t="s">
        <v>502</v>
      </c>
      <c r="P15" s="8" t="s">
        <v>503</v>
      </c>
      <c r="Q15" s="8" t="s">
        <v>496</v>
      </c>
      <c r="R15" s="8" t="s">
        <v>504</v>
      </c>
      <c r="S15" s="7">
        <v>0.65</v>
      </c>
      <c r="T15" s="59">
        <v>1</v>
      </c>
      <c r="U15" s="7">
        <v>0</v>
      </c>
      <c r="V15" s="8" t="s">
        <v>497</v>
      </c>
      <c r="W15" s="7">
        <v>100</v>
      </c>
      <c r="X15" s="8"/>
      <c r="Y15" s="8"/>
      <c r="Z15" s="60">
        <f t="shared" si="0"/>
        <v>5.5188249230805377E-3</v>
      </c>
      <c r="AA15" s="53">
        <f t="shared" si="1"/>
        <v>5.5188249230805377E-3</v>
      </c>
      <c r="AB15">
        <f t="shared" si="2"/>
        <v>0.97991334799999996</v>
      </c>
    </row>
    <row r="16" spans="1:28" hidden="1" x14ac:dyDescent="0.25">
      <c r="A16" s="3" t="s">
        <v>510</v>
      </c>
      <c r="B16" s="4">
        <v>3.9969999999999999</v>
      </c>
      <c r="C16" s="5">
        <v>44253</v>
      </c>
      <c r="D16" s="6">
        <v>42794</v>
      </c>
      <c r="E16" s="7">
        <v>0.97162921999999996</v>
      </c>
      <c r="F16" s="7">
        <v>0.73047991000000001</v>
      </c>
      <c r="G16" s="7">
        <v>0.72261672499999996</v>
      </c>
      <c r="H16" s="7">
        <v>0.71564700000000003</v>
      </c>
      <c r="I16" s="7">
        <v>0.71693200000000001</v>
      </c>
      <c r="J16" s="8"/>
      <c r="K16" s="8"/>
      <c r="L16" s="7"/>
      <c r="M16" s="7"/>
      <c r="N16" s="7"/>
      <c r="O16" s="8"/>
      <c r="P16" s="8"/>
      <c r="Q16" s="8"/>
      <c r="R16" s="8"/>
      <c r="S16" s="7"/>
      <c r="T16" s="59"/>
      <c r="U16" s="7"/>
      <c r="V16" s="8"/>
      <c r="W16" s="7"/>
      <c r="X16" s="8"/>
      <c r="Y16" s="8"/>
      <c r="Z16" s="60">
        <f t="shared" si="0"/>
        <v>7.2001836831013322E-3</v>
      </c>
      <c r="AA16" s="53">
        <f t="shared" si="1"/>
        <v>7.2001836831013322E-3</v>
      </c>
      <c r="AB16">
        <f t="shared" si="2"/>
        <v>0.97162921999999996</v>
      </c>
    </row>
    <row r="17" spans="1:28" ht="21" hidden="1" x14ac:dyDescent="0.25">
      <c r="A17" s="3" t="s">
        <v>343</v>
      </c>
      <c r="B17" s="4">
        <v>4.5069999999999997</v>
      </c>
      <c r="C17" s="5">
        <v>44439</v>
      </c>
      <c r="D17" s="6">
        <v>42794</v>
      </c>
      <c r="E17" s="7">
        <v>0.95853705199999995</v>
      </c>
      <c r="F17" s="7">
        <v>0.95979445900000004</v>
      </c>
      <c r="G17" s="7">
        <v>0.94404389499999997</v>
      </c>
      <c r="H17" s="7">
        <v>0.93116299999999996</v>
      </c>
      <c r="I17" s="7">
        <v>0.933338</v>
      </c>
      <c r="J17" s="8"/>
      <c r="K17" s="8"/>
      <c r="L17" s="7"/>
      <c r="M17" s="7"/>
      <c r="N17" s="7"/>
      <c r="O17" s="8"/>
      <c r="P17" s="8"/>
      <c r="Q17" s="8"/>
      <c r="R17" s="8"/>
      <c r="S17" s="7"/>
      <c r="T17" s="59"/>
      <c r="U17" s="7"/>
      <c r="V17" s="8"/>
      <c r="W17" s="7"/>
      <c r="X17" s="8"/>
      <c r="Y17" s="8"/>
      <c r="Z17" s="60">
        <f t="shared" si="0"/>
        <v>9.3961563942877944E-3</v>
      </c>
      <c r="AA17" s="53">
        <f t="shared" si="1"/>
        <v>9.3961563942877944E-3</v>
      </c>
      <c r="AB17">
        <f t="shared" si="2"/>
        <v>0.95853705199999995</v>
      </c>
    </row>
    <row r="18" spans="1:28" ht="21" x14ac:dyDescent="0.25">
      <c r="A18" s="3" t="s">
        <v>511</v>
      </c>
      <c r="B18" s="4">
        <v>4.7969999999999997</v>
      </c>
      <c r="C18" s="5">
        <v>44545</v>
      </c>
      <c r="D18" s="6">
        <v>42794</v>
      </c>
      <c r="E18" s="7">
        <v>0.95115499100000001</v>
      </c>
      <c r="F18" s="7">
        <v>1.0704727709999999</v>
      </c>
      <c r="G18" s="7">
        <v>1.0493603410000001</v>
      </c>
      <c r="H18" s="7">
        <v>1.032875</v>
      </c>
      <c r="I18" s="7">
        <v>1.035617</v>
      </c>
      <c r="J18" s="8" t="s">
        <v>187</v>
      </c>
      <c r="K18" s="8"/>
      <c r="L18" s="7">
        <v>0</v>
      </c>
      <c r="M18" s="7">
        <v>105.26</v>
      </c>
      <c r="N18" s="7">
        <v>105.26</v>
      </c>
      <c r="O18" s="8" t="s">
        <v>502</v>
      </c>
      <c r="P18" s="8" t="s">
        <v>503</v>
      </c>
      <c r="Q18" s="8" t="s">
        <v>496</v>
      </c>
      <c r="R18" s="8" t="s">
        <v>504</v>
      </c>
      <c r="S18" s="7">
        <v>2.15</v>
      </c>
      <c r="T18" s="59">
        <v>1</v>
      </c>
      <c r="U18" s="7">
        <v>0</v>
      </c>
      <c r="V18" s="8" t="s">
        <v>497</v>
      </c>
      <c r="W18" s="7">
        <v>100</v>
      </c>
      <c r="X18" s="8"/>
      <c r="Y18" s="8"/>
      <c r="Z18" s="60">
        <f t="shared" si="0"/>
        <v>1.0438927635691398E-2</v>
      </c>
      <c r="AA18" s="53">
        <f t="shared" si="1"/>
        <v>1.0438927635691398E-2</v>
      </c>
      <c r="AB18">
        <f t="shared" si="2"/>
        <v>0.95115499100000001</v>
      </c>
    </row>
    <row r="19" spans="1:28" hidden="1" x14ac:dyDescent="0.25">
      <c r="A19" s="3" t="s">
        <v>512</v>
      </c>
      <c r="B19" s="4">
        <v>5.0030000000000001</v>
      </c>
      <c r="C19" s="5">
        <v>44620</v>
      </c>
      <c r="D19" s="6">
        <v>42794</v>
      </c>
      <c r="E19" s="7">
        <v>0.94570566700000003</v>
      </c>
      <c r="F19" s="7">
        <v>1.1476001579999999</v>
      </c>
      <c r="G19" s="7">
        <v>1.122115422</v>
      </c>
      <c r="H19" s="7">
        <v>1.103148</v>
      </c>
      <c r="I19" s="7">
        <v>1.106201</v>
      </c>
      <c r="J19" s="8"/>
      <c r="K19" s="8"/>
      <c r="L19" s="7"/>
      <c r="M19" s="7"/>
      <c r="N19" s="7"/>
      <c r="O19" s="8"/>
      <c r="P19" s="8"/>
      <c r="Q19" s="8"/>
      <c r="R19" s="8"/>
      <c r="S19" s="7"/>
      <c r="T19" s="59"/>
      <c r="U19" s="7"/>
      <c r="V19" s="8"/>
      <c r="W19" s="7"/>
      <c r="X19" s="8"/>
      <c r="Y19" s="8"/>
      <c r="Z19" s="60">
        <f t="shared" si="0"/>
        <v>1.1158664181868566E-2</v>
      </c>
      <c r="AA19" s="53">
        <f t="shared" si="1"/>
        <v>1.1158664181868566E-2</v>
      </c>
      <c r="AB19">
        <f t="shared" si="2"/>
        <v>0.94570566700000003</v>
      </c>
    </row>
    <row r="20" spans="1:28" ht="30.75" x14ac:dyDescent="0.25">
      <c r="A20" s="3" t="s">
        <v>513</v>
      </c>
      <c r="B20" s="4">
        <v>5.1289999999999996</v>
      </c>
      <c r="C20" s="5">
        <v>44666</v>
      </c>
      <c r="D20" s="6">
        <v>42794</v>
      </c>
      <c r="E20" s="7">
        <v>0.94237887300000001</v>
      </c>
      <c r="F20" s="7">
        <v>1.1921838199999999</v>
      </c>
      <c r="G20" s="7">
        <v>1.1638778890000001</v>
      </c>
      <c r="H20" s="7">
        <v>1.1461220000000001</v>
      </c>
      <c r="I20" s="7">
        <v>1.1470860000000001</v>
      </c>
      <c r="J20" s="8" t="s">
        <v>187</v>
      </c>
      <c r="K20" s="8"/>
      <c r="L20" s="7">
        <v>0</v>
      </c>
      <c r="M20" s="7">
        <v>101.01</v>
      </c>
      <c r="N20" s="7">
        <v>101.01</v>
      </c>
      <c r="O20" s="8" t="s">
        <v>502</v>
      </c>
      <c r="P20" s="8" t="s">
        <v>503</v>
      </c>
      <c r="Q20" s="8" t="s">
        <v>496</v>
      </c>
      <c r="R20" s="8" t="s">
        <v>504</v>
      </c>
      <c r="S20" s="7">
        <v>1.35</v>
      </c>
      <c r="T20" s="59">
        <v>1</v>
      </c>
      <c r="U20" s="7">
        <v>0</v>
      </c>
      <c r="V20" s="8" t="s">
        <v>497</v>
      </c>
      <c r="W20" s="7">
        <v>100</v>
      </c>
      <c r="X20" s="8"/>
      <c r="Y20" s="8"/>
      <c r="Z20" s="60">
        <f t="shared" si="0"/>
        <v>1.1571569385623252E-2</v>
      </c>
      <c r="AA20" s="53">
        <f t="shared" si="1"/>
        <v>1.1571569385623252E-2</v>
      </c>
      <c r="AB20">
        <f t="shared" si="2"/>
        <v>0.94237887300000001</v>
      </c>
    </row>
    <row r="21" spans="1:28" ht="21" hidden="1" x14ac:dyDescent="0.25">
      <c r="A21" s="3" t="s">
        <v>344</v>
      </c>
      <c r="B21" s="4">
        <v>5.5069999999999997</v>
      </c>
      <c r="C21" s="5">
        <v>44804</v>
      </c>
      <c r="D21" s="6">
        <v>42794</v>
      </c>
      <c r="E21" s="7">
        <v>0.93319947999999997</v>
      </c>
      <c r="F21" s="7">
        <v>1.2998767040000001</v>
      </c>
      <c r="G21" s="7">
        <v>1.263374083</v>
      </c>
      <c r="H21" s="7">
        <v>1.2388319999999999</v>
      </c>
      <c r="I21" s="7">
        <v>1.2426790000000001</v>
      </c>
      <c r="J21" s="8"/>
      <c r="K21" s="8"/>
      <c r="L21" s="7"/>
      <c r="M21" s="7"/>
      <c r="N21" s="7"/>
      <c r="O21" s="8"/>
      <c r="P21" s="8"/>
      <c r="Q21" s="8"/>
      <c r="R21" s="8"/>
      <c r="S21" s="7"/>
      <c r="T21" s="59"/>
      <c r="U21" s="7"/>
      <c r="V21" s="8"/>
      <c r="W21" s="7"/>
      <c r="X21" s="8"/>
      <c r="Y21" s="8"/>
      <c r="Z21" s="60">
        <f t="shared" si="0"/>
        <v>1.2554601025362882E-2</v>
      </c>
      <c r="AA21" s="53">
        <f t="shared" si="1"/>
        <v>1.2554601025362882E-2</v>
      </c>
      <c r="AB21">
        <f t="shared" si="2"/>
        <v>0.93319947999999997</v>
      </c>
    </row>
    <row r="22" spans="1:28" ht="30.75" x14ac:dyDescent="0.25">
      <c r="A22" s="3" t="s">
        <v>514</v>
      </c>
      <c r="B22" s="4">
        <v>5.548</v>
      </c>
      <c r="C22" s="5">
        <v>44819</v>
      </c>
      <c r="D22" s="6">
        <v>42794</v>
      </c>
      <c r="E22" s="7">
        <v>0.932209493</v>
      </c>
      <c r="F22" s="7">
        <v>1.310760046</v>
      </c>
      <c r="G22" s="7">
        <v>1.2733307679999999</v>
      </c>
      <c r="H22" s="7">
        <v>1.2483230000000001</v>
      </c>
      <c r="I22" s="7">
        <v>1.2522549999999999</v>
      </c>
      <c r="J22" s="8" t="s">
        <v>187</v>
      </c>
      <c r="K22" s="8"/>
      <c r="L22" s="7">
        <v>0</v>
      </c>
      <c r="M22" s="7">
        <v>101.075</v>
      </c>
      <c r="N22" s="7">
        <v>101.075</v>
      </c>
      <c r="O22" s="8" t="s">
        <v>502</v>
      </c>
      <c r="P22" s="8" t="s">
        <v>503</v>
      </c>
      <c r="Q22" s="8" t="s">
        <v>496</v>
      </c>
      <c r="R22" s="8" t="s">
        <v>504</v>
      </c>
      <c r="S22" s="7">
        <v>1.45</v>
      </c>
      <c r="T22" s="59">
        <v>1</v>
      </c>
      <c r="U22" s="7">
        <v>0</v>
      </c>
      <c r="V22" s="8" t="s">
        <v>497</v>
      </c>
      <c r="W22" s="7">
        <v>100</v>
      </c>
      <c r="X22" s="8"/>
      <c r="Y22" s="8"/>
      <c r="Z22" s="60">
        <f t="shared" si="0"/>
        <v>1.2652920866807691E-2</v>
      </c>
      <c r="AA22" s="53">
        <f t="shared" si="1"/>
        <v>1.2652920866807691E-2</v>
      </c>
      <c r="AB22">
        <f t="shared" si="2"/>
        <v>0.932209493</v>
      </c>
    </row>
    <row r="23" spans="1:28" hidden="1" x14ac:dyDescent="0.25">
      <c r="A23" s="3" t="s">
        <v>515</v>
      </c>
      <c r="B23" s="4">
        <v>6.0030000000000001</v>
      </c>
      <c r="C23" s="5">
        <v>44985</v>
      </c>
      <c r="D23" s="6">
        <v>42794</v>
      </c>
      <c r="E23" s="7">
        <v>0.91275591199999995</v>
      </c>
      <c r="F23" s="7">
        <v>1.592325462</v>
      </c>
      <c r="G23" s="7">
        <v>1.5323742220000001</v>
      </c>
      <c r="H23" s="7">
        <v>1.492667</v>
      </c>
      <c r="I23" s="7">
        <v>1.4982549999999999</v>
      </c>
      <c r="J23" s="8"/>
      <c r="K23" s="8"/>
      <c r="L23" s="7"/>
      <c r="M23" s="7"/>
      <c r="N23" s="7"/>
      <c r="O23" s="8"/>
      <c r="P23" s="8"/>
      <c r="Q23" s="8"/>
      <c r="R23" s="8"/>
      <c r="S23" s="7"/>
      <c r="T23" s="59"/>
      <c r="U23" s="7"/>
      <c r="V23" s="8"/>
      <c r="W23" s="7"/>
      <c r="X23" s="8"/>
      <c r="Y23" s="8"/>
      <c r="Z23" s="60">
        <f t="shared" si="0"/>
        <v>1.5207519483478798E-2</v>
      </c>
      <c r="AA23" s="53">
        <f t="shared" si="1"/>
        <v>1.5207519483478798E-2</v>
      </c>
      <c r="AB23">
        <f t="shared" si="2"/>
        <v>0.91275591199999995</v>
      </c>
    </row>
    <row r="24" spans="1:28" ht="21" x14ac:dyDescent="0.25">
      <c r="A24" s="3" t="s">
        <v>516</v>
      </c>
      <c r="B24" s="4">
        <v>6.173</v>
      </c>
      <c r="C24" s="5">
        <v>45047</v>
      </c>
      <c r="D24" s="6">
        <v>42794</v>
      </c>
      <c r="E24" s="7">
        <v>0.90559470200000003</v>
      </c>
      <c r="F24" s="7">
        <v>1.6888620160000001</v>
      </c>
      <c r="G24" s="7">
        <v>1.6194827949999999</v>
      </c>
      <c r="H24" s="7">
        <v>1.5739460000000001</v>
      </c>
      <c r="I24" s="7">
        <v>1.5795939999999999</v>
      </c>
      <c r="J24" s="8" t="s">
        <v>187</v>
      </c>
      <c r="K24" s="8"/>
      <c r="L24" s="7">
        <v>0</v>
      </c>
      <c r="M24" s="7">
        <v>117.51</v>
      </c>
      <c r="N24" s="7">
        <v>117.51</v>
      </c>
      <c r="O24" s="8" t="s">
        <v>502</v>
      </c>
      <c r="P24" s="8" t="s">
        <v>503</v>
      </c>
      <c r="Q24" s="8" t="s">
        <v>496</v>
      </c>
      <c r="R24" s="8" t="s">
        <v>504</v>
      </c>
      <c r="S24" s="7">
        <v>4.5</v>
      </c>
      <c r="T24" s="59">
        <v>1</v>
      </c>
      <c r="U24" s="7">
        <v>0</v>
      </c>
      <c r="V24" s="8" t="s">
        <v>497</v>
      </c>
      <c r="W24" s="7">
        <v>100</v>
      </c>
      <c r="X24" s="8"/>
      <c r="Y24" s="8"/>
      <c r="Z24" s="60">
        <f t="shared" si="0"/>
        <v>1.6065090529339729E-2</v>
      </c>
      <c r="AA24" s="53">
        <f t="shared" si="1"/>
        <v>1.6065090529339729E-2</v>
      </c>
      <c r="AB24">
        <f t="shared" si="2"/>
        <v>0.90559470200000003</v>
      </c>
    </row>
    <row r="25" spans="1:28" x14ac:dyDescent="0.25">
      <c r="A25" s="3" t="s">
        <v>517</v>
      </c>
      <c r="B25" s="4">
        <v>6.4249999999999998</v>
      </c>
      <c r="C25" s="5">
        <v>45139</v>
      </c>
      <c r="D25" s="6">
        <v>42794</v>
      </c>
      <c r="E25" s="7">
        <v>0.90105566599999998</v>
      </c>
      <c r="F25" s="7">
        <v>1.7091859979999999</v>
      </c>
      <c r="G25" s="7">
        <v>1.634914121</v>
      </c>
      <c r="H25" s="7">
        <v>1.5894630000000001</v>
      </c>
      <c r="I25" s="7">
        <v>1.5958589999999999</v>
      </c>
      <c r="J25" s="8" t="s">
        <v>187</v>
      </c>
      <c r="K25" s="8"/>
      <c r="L25" s="7">
        <v>0</v>
      </c>
      <c r="M25" s="7">
        <v>119.645</v>
      </c>
      <c r="N25" s="7">
        <v>119.645</v>
      </c>
      <c r="O25" s="8" t="s">
        <v>502</v>
      </c>
      <c r="P25" s="8" t="s">
        <v>503</v>
      </c>
      <c r="Q25" s="8" t="s">
        <v>496</v>
      </c>
      <c r="R25" s="8" t="s">
        <v>504</v>
      </c>
      <c r="S25" s="7">
        <v>4.75</v>
      </c>
      <c r="T25" s="59">
        <v>1</v>
      </c>
      <c r="U25" s="7">
        <v>0</v>
      </c>
      <c r="V25" s="8" t="s">
        <v>497</v>
      </c>
      <c r="W25" s="7">
        <v>100</v>
      </c>
      <c r="X25" s="8"/>
      <c r="Y25" s="8"/>
      <c r="Z25" s="60">
        <f t="shared" si="0"/>
        <v>1.6216933005837837E-2</v>
      </c>
      <c r="AA25" s="53">
        <f t="shared" si="1"/>
        <v>1.6216933005837837E-2</v>
      </c>
      <c r="AB25">
        <f t="shared" si="2"/>
        <v>0.90105566599999998</v>
      </c>
    </row>
    <row r="26" spans="1:28" ht="21" hidden="1" x14ac:dyDescent="0.25">
      <c r="A26" s="3" t="s">
        <v>345</v>
      </c>
      <c r="B26" s="4">
        <v>6.5069999999999997</v>
      </c>
      <c r="C26" s="5">
        <v>45169</v>
      </c>
      <c r="D26" s="6">
        <v>42794</v>
      </c>
      <c r="E26" s="7">
        <v>0.89760048699999995</v>
      </c>
      <c r="F26" s="7">
        <v>1.7532508739999999</v>
      </c>
      <c r="G26" s="7">
        <v>1.674112434</v>
      </c>
      <c r="H26" s="7">
        <v>1.626077</v>
      </c>
      <c r="I26" s="7">
        <v>1.6327020000000001</v>
      </c>
      <c r="J26" s="8"/>
      <c r="K26" s="8"/>
      <c r="L26" s="7"/>
      <c r="M26" s="7"/>
      <c r="N26" s="7"/>
      <c r="O26" s="8"/>
      <c r="P26" s="8"/>
      <c r="Q26" s="8"/>
      <c r="R26" s="8"/>
      <c r="S26" s="7"/>
      <c r="T26" s="59"/>
      <c r="U26" s="7"/>
      <c r="V26" s="8"/>
      <c r="W26" s="7"/>
      <c r="X26" s="8"/>
      <c r="Y26" s="8"/>
      <c r="Z26" s="60">
        <f t="shared" si="0"/>
        <v>1.6602536254488782E-2</v>
      </c>
      <c r="AA26" s="53">
        <f t="shared" si="1"/>
        <v>1.6602536254488782E-2</v>
      </c>
      <c r="AB26">
        <f t="shared" si="2"/>
        <v>0.89760048699999995</v>
      </c>
    </row>
    <row r="27" spans="1:28" hidden="1" x14ac:dyDescent="0.25">
      <c r="A27" s="3" t="s">
        <v>518</v>
      </c>
      <c r="B27" s="4">
        <v>7.0049999999999999</v>
      </c>
      <c r="C27" s="5">
        <v>45351</v>
      </c>
      <c r="D27" s="6">
        <v>42794</v>
      </c>
      <c r="E27" s="7">
        <v>0.87692123799999999</v>
      </c>
      <c r="F27" s="7">
        <v>2.0034784129999998</v>
      </c>
      <c r="G27" s="7">
        <v>1.892475562</v>
      </c>
      <c r="H27" s="7">
        <v>1.8275600000000001</v>
      </c>
      <c r="I27" s="7">
        <v>1.8359289999999999</v>
      </c>
      <c r="J27" s="8"/>
      <c r="K27" s="8"/>
      <c r="L27" s="7"/>
      <c r="M27" s="7"/>
      <c r="N27" s="7"/>
      <c r="O27" s="8"/>
      <c r="P27" s="8"/>
      <c r="Q27" s="8"/>
      <c r="R27" s="8"/>
      <c r="S27" s="7"/>
      <c r="T27" s="59"/>
      <c r="U27" s="7"/>
      <c r="V27" s="8"/>
      <c r="W27" s="7"/>
      <c r="X27" s="8"/>
      <c r="Y27" s="8"/>
      <c r="Z27" s="60">
        <f t="shared" si="0"/>
        <v>1.8747910115175126E-2</v>
      </c>
      <c r="AA27" s="53">
        <f t="shared" si="1"/>
        <v>1.8747910115175126E-2</v>
      </c>
      <c r="AB27">
        <f t="shared" si="2"/>
        <v>0.87692123799999999</v>
      </c>
    </row>
    <row r="28" spans="1:28" ht="21" x14ac:dyDescent="0.25">
      <c r="A28" s="3" t="s">
        <v>519</v>
      </c>
      <c r="B28" s="4">
        <v>7.008</v>
      </c>
      <c r="C28" s="5">
        <v>45352</v>
      </c>
      <c r="D28" s="6">
        <v>42794</v>
      </c>
      <c r="E28" s="7">
        <v>0.87680894200000004</v>
      </c>
      <c r="F28" s="7">
        <v>2.0047791620000002</v>
      </c>
      <c r="G28" s="7">
        <v>1.8935907270000001</v>
      </c>
      <c r="H28" s="7">
        <v>1.8285750000000001</v>
      </c>
      <c r="I28" s="7">
        <v>1.836956</v>
      </c>
      <c r="J28" s="8" t="s">
        <v>187</v>
      </c>
      <c r="K28" s="8"/>
      <c r="L28" s="7">
        <v>0</v>
      </c>
      <c r="M28" s="7">
        <v>117.94499999999999</v>
      </c>
      <c r="N28" s="7">
        <v>117.94499999999999</v>
      </c>
      <c r="O28" s="8" t="s">
        <v>502</v>
      </c>
      <c r="P28" s="8" t="s">
        <v>503</v>
      </c>
      <c r="Q28" s="8" t="s">
        <v>496</v>
      </c>
      <c r="R28" s="8" t="s">
        <v>504</v>
      </c>
      <c r="S28" s="7">
        <v>4.5</v>
      </c>
      <c r="T28" s="59">
        <v>1</v>
      </c>
      <c r="U28" s="7">
        <v>0</v>
      </c>
      <c r="V28" s="8" t="s">
        <v>497</v>
      </c>
      <c r="W28" s="7">
        <v>100</v>
      </c>
      <c r="X28" s="8"/>
      <c r="Y28" s="8"/>
      <c r="Z28" s="60">
        <f t="shared" si="0"/>
        <v>1.8758854575016377E-2</v>
      </c>
      <c r="AA28" s="53">
        <f t="shared" si="1"/>
        <v>1.8758854575016377E-2</v>
      </c>
      <c r="AB28">
        <f t="shared" si="2"/>
        <v>0.87680894200000004</v>
      </c>
    </row>
    <row r="29" spans="1:28" ht="21" hidden="1" x14ac:dyDescent="0.25">
      <c r="A29" s="3" t="s">
        <v>346</v>
      </c>
      <c r="B29" s="4">
        <v>7.5069999999999997</v>
      </c>
      <c r="C29" s="5">
        <v>45534</v>
      </c>
      <c r="D29" s="6">
        <v>42794</v>
      </c>
      <c r="E29" s="7">
        <v>0.86280863900000004</v>
      </c>
      <c r="F29" s="7">
        <v>2.1181396129999999</v>
      </c>
      <c r="G29" s="7">
        <v>1.9851500200000001</v>
      </c>
      <c r="H29" s="7">
        <v>1.9141589999999999</v>
      </c>
      <c r="I29" s="7">
        <v>1.9233370000000001</v>
      </c>
      <c r="J29" s="8"/>
      <c r="K29" s="8"/>
      <c r="L29" s="7"/>
      <c r="M29" s="7"/>
      <c r="N29" s="7"/>
      <c r="O29" s="8"/>
      <c r="P29" s="8"/>
      <c r="Q29" s="8"/>
      <c r="R29" s="8"/>
      <c r="S29" s="7"/>
      <c r="T29" s="59"/>
      <c r="U29" s="7"/>
      <c r="V29" s="8"/>
      <c r="W29" s="7"/>
      <c r="X29" s="8"/>
      <c r="Y29" s="8"/>
      <c r="Z29" s="60">
        <f t="shared" si="0"/>
        <v>1.9657028611440544E-2</v>
      </c>
      <c r="AA29" s="53">
        <f t="shared" si="1"/>
        <v>1.9657028611440544E-2</v>
      </c>
      <c r="AB29">
        <f t="shared" si="2"/>
        <v>0.86280863900000004</v>
      </c>
    </row>
    <row r="30" spans="1:28" ht="21" x14ac:dyDescent="0.25">
      <c r="A30" s="3" t="s">
        <v>520</v>
      </c>
      <c r="B30" s="4">
        <v>7.5119999999999996</v>
      </c>
      <c r="C30" s="5">
        <v>45536</v>
      </c>
      <c r="D30" s="6">
        <v>42794</v>
      </c>
      <c r="E30" s="7">
        <v>0.86265603800000001</v>
      </c>
      <c r="F30" s="7">
        <v>2.119323826</v>
      </c>
      <c r="G30" s="7">
        <v>1.986089075</v>
      </c>
      <c r="H30" s="7">
        <v>1.9156249999999999</v>
      </c>
      <c r="I30" s="7">
        <v>1.9241680000000001</v>
      </c>
      <c r="J30" s="8" t="s">
        <v>187</v>
      </c>
      <c r="K30" s="8"/>
      <c r="L30" s="7">
        <v>0</v>
      </c>
      <c r="M30" s="7">
        <v>113.095</v>
      </c>
      <c r="N30" s="7">
        <v>113.095</v>
      </c>
      <c r="O30" s="8" t="s">
        <v>502</v>
      </c>
      <c r="P30" s="8" t="s">
        <v>503</v>
      </c>
      <c r="Q30" s="8" t="s">
        <v>496</v>
      </c>
      <c r="R30" s="8" t="s">
        <v>504</v>
      </c>
      <c r="S30" s="7">
        <v>3.75</v>
      </c>
      <c r="T30" s="59">
        <v>1</v>
      </c>
      <c r="U30" s="7">
        <v>0</v>
      </c>
      <c r="V30" s="8" t="s">
        <v>497</v>
      </c>
      <c r="W30" s="7">
        <v>100</v>
      </c>
      <c r="X30" s="8"/>
      <c r="Y30" s="8"/>
      <c r="Z30" s="60">
        <f t="shared" si="0"/>
        <v>1.9666236315813421E-2</v>
      </c>
      <c r="AA30" s="53">
        <f t="shared" si="1"/>
        <v>1.9666236315813421E-2</v>
      </c>
      <c r="AB30">
        <f t="shared" si="2"/>
        <v>0.86265603800000001</v>
      </c>
    </row>
    <row r="31" spans="1:28" hidden="1" x14ac:dyDescent="0.25">
      <c r="A31" s="3" t="s">
        <v>521</v>
      </c>
      <c r="B31" s="4">
        <v>8.0050000000000008</v>
      </c>
      <c r="C31" s="5">
        <v>45716</v>
      </c>
      <c r="D31" s="6">
        <v>42794</v>
      </c>
      <c r="E31" s="7">
        <v>0.84690933599999996</v>
      </c>
      <c r="F31" s="7">
        <v>2.2580026040000001</v>
      </c>
      <c r="G31" s="7">
        <v>2.0972891050000002</v>
      </c>
      <c r="H31" s="7">
        <v>2.0171410000000001</v>
      </c>
      <c r="I31" s="7">
        <v>2.0273400000000001</v>
      </c>
      <c r="J31" s="8"/>
      <c r="K31" s="8"/>
      <c r="L31" s="7"/>
      <c r="M31" s="7"/>
      <c r="N31" s="7"/>
      <c r="O31" s="8"/>
      <c r="P31" s="8"/>
      <c r="Q31" s="8"/>
      <c r="R31" s="8"/>
      <c r="S31" s="7"/>
      <c r="T31" s="59"/>
      <c r="U31" s="7"/>
      <c r="V31" s="8"/>
      <c r="W31" s="7"/>
      <c r="X31" s="8"/>
      <c r="Y31" s="8"/>
      <c r="Z31" s="60">
        <f t="shared" si="0"/>
        <v>2.0755987492926318E-2</v>
      </c>
      <c r="AA31" s="53">
        <f t="shared" si="1"/>
        <v>2.0755987492926318E-2</v>
      </c>
      <c r="AB31">
        <f t="shared" si="2"/>
        <v>0.84690933599999996</v>
      </c>
    </row>
    <row r="32" spans="1:28" x14ac:dyDescent="0.25">
      <c r="A32" s="3" t="s">
        <v>522</v>
      </c>
      <c r="B32" s="4">
        <v>8.0079999999999991</v>
      </c>
      <c r="C32" s="5">
        <v>45717</v>
      </c>
      <c r="D32" s="6">
        <v>42794</v>
      </c>
      <c r="E32" s="7">
        <v>0.84682259699999995</v>
      </c>
      <c r="F32" s="7">
        <v>2.2587403720000001</v>
      </c>
      <c r="G32" s="7">
        <v>2.0978699359999999</v>
      </c>
      <c r="H32" s="7">
        <v>2.017976</v>
      </c>
      <c r="I32" s="7">
        <v>2.0269020000000002</v>
      </c>
      <c r="J32" s="8" t="s">
        <v>187</v>
      </c>
      <c r="K32" s="8"/>
      <c r="L32" s="7">
        <v>0</v>
      </c>
      <c r="M32" s="7">
        <v>122.565</v>
      </c>
      <c r="N32" s="7">
        <v>122.565</v>
      </c>
      <c r="O32" s="8" t="s">
        <v>502</v>
      </c>
      <c r="P32" s="8" t="s">
        <v>503</v>
      </c>
      <c r="Q32" s="8" t="s">
        <v>496</v>
      </c>
      <c r="R32" s="8" t="s">
        <v>504</v>
      </c>
      <c r="S32" s="7">
        <v>5</v>
      </c>
      <c r="T32" s="59">
        <v>1</v>
      </c>
      <c r="U32" s="7">
        <v>0</v>
      </c>
      <c r="V32" s="8" t="s">
        <v>497</v>
      </c>
      <c r="W32" s="7">
        <v>100</v>
      </c>
      <c r="X32" s="8"/>
      <c r="Y32" s="8"/>
      <c r="Z32" s="60">
        <f t="shared" si="0"/>
        <v>2.0761676374296809E-2</v>
      </c>
      <c r="AA32" s="53">
        <f t="shared" si="1"/>
        <v>2.0761676374296809E-2</v>
      </c>
      <c r="AB32">
        <f t="shared" si="2"/>
        <v>0.84682259699999995</v>
      </c>
    </row>
    <row r="33" spans="1:28" ht="21" hidden="1" x14ac:dyDescent="0.25">
      <c r="A33" s="3" t="s">
        <v>347</v>
      </c>
      <c r="B33" s="4">
        <v>8.5039999999999996</v>
      </c>
      <c r="C33" s="5">
        <v>45898</v>
      </c>
      <c r="D33" s="6">
        <v>42794</v>
      </c>
      <c r="E33" s="7">
        <v>0.83629603100000005</v>
      </c>
      <c r="F33" s="7">
        <v>2.3018145240000001</v>
      </c>
      <c r="G33" s="7">
        <v>2.1244426669999998</v>
      </c>
      <c r="H33" s="7">
        <v>2.044638</v>
      </c>
      <c r="I33" s="7">
        <v>2.0551170000000001</v>
      </c>
      <c r="J33" s="8"/>
      <c r="K33" s="8"/>
      <c r="L33" s="7"/>
      <c r="M33" s="7"/>
      <c r="N33" s="7"/>
      <c r="O33" s="8"/>
      <c r="P33" s="8"/>
      <c r="Q33" s="8"/>
      <c r="R33" s="8"/>
      <c r="S33" s="7"/>
      <c r="T33" s="59"/>
      <c r="U33" s="7"/>
      <c r="V33" s="8"/>
      <c r="W33" s="7"/>
      <c r="X33" s="8"/>
      <c r="Y33" s="8"/>
      <c r="Z33" s="60">
        <f t="shared" si="0"/>
        <v>2.1021909776524461E-2</v>
      </c>
      <c r="AA33" s="53">
        <f t="shared" si="1"/>
        <v>2.1021909776524461E-2</v>
      </c>
      <c r="AB33">
        <f t="shared" si="2"/>
        <v>0.83629603100000005</v>
      </c>
    </row>
    <row r="34" spans="1:28" x14ac:dyDescent="0.25">
      <c r="A34" s="3" t="s">
        <v>523</v>
      </c>
      <c r="B34" s="4">
        <v>8.7620000000000005</v>
      </c>
      <c r="C34" s="5">
        <v>45992</v>
      </c>
      <c r="D34" s="6">
        <v>42794</v>
      </c>
      <c r="E34" s="7">
        <v>0.83090999700000001</v>
      </c>
      <c r="F34" s="7">
        <v>2.3226210190000001</v>
      </c>
      <c r="G34" s="7">
        <v>2.1366506890000001</v>
      </c>
      <c r="H34" s="7">
        <v>2.0569320000000002</v>
      </c>
      <c r="I34" s="7">
        <v>2.067682</v>
      </c>
      <c r="J34" s="8" t="s">
        <v>187</v>
      </c>
      <c r="K34" s="8"/>
      <c r="L34" s="7">
        <v>0</v>
      </c>
      <c r="M34" s="7">
        <v>99.504999999999995</v>
      </c>
      <c r="N34" s="7">
        <v>99.504999999999995</v>
      </c>
      <c r="O34" s="8" t="s">
        <v>502</v>
      </c>
      <c r="P34" s="8" t="s">
        <v>503</v>
      </c>
      <c r="Q34" s="8" t="s">
        <v>496</v>
      </c>
      <c r="R34" s="8" t="s">
        <v>504</v>
      </c>
      <c r="S34" s="7">
        <v>2</v>
      </c>
      <c r="T34" s="59">
        <v>1</v>
      </c>
      <c r="U34" s="7">
        <v>0</v>
      </c>
      <c r="V34" s="8" t="s">
        <v>497</v>
      </c>
      <c r="W34" s="7">
        <v>100</v>
      </c>
      <c r="X34" s="8"/>
      <c r="Y34" s="8"/>
      <c r="Z34" s="60">
        <f t="shared" si="0"/>
        <v>2.1141443355472078E-2</v>
      </c>
      <c r="AA34" s="53">
        <f t="shared" si="1"/>
        <v>2.1141443355472078E-2</v>
      </c>
      <c r="AB34">
        <f t="shared" si="2"/>
        <v>0.83090999700000001</v>
      </c>
    </row>
    <row r="35" spans="1:28" hidden="1" x14ac:dyDescent="0.25">
      <c r="A35" s="3" t="s">
        <v>524</v>
      </c>
      <c r="B35" s="4">
        <v>9.0030000000000001</v>
      </c>
      <c r="C35" s="5">
        <v>46080</v>
      </c>
      <c r="D35" s="6">
        <v>42794</v>
      </c>
      <c r="E35" s="7">
        <v>0.81433792000000005</v>
      </c>
      <c r="F35" s="7">
        <v>2.532467376</v>
      </c>
      <c r="G35" s="7">
        <v>2.3075247839999999</v>
      </c>
      <c r="H35" s="7">
        <v>2.2069619999999999</v>
      </c>
      <c r="I35" s="7">
        <v>2.219185</v>
      </c>
      <c r="J35" s="8"/>
      <c r="K35" s="8"/>
      <c r="L35" s="7"/>
      <c r="M35" s="7"/>
      <c r="N35" s="7"/>
      <c r="O35" s="8"/>
      <c r="P35" s="8"/>
      <c r="Q35" s="8"/>
      <c r="R35" s="8"/>
      <c r="S35" s="7"/>
      <c r="T35" s="59"/>
      <c r="U35" s="7"/>
      <c r="V35" s="8"/>
      <c r="W35" s="7"/>
      <c r="X35" s="8"/>
      <c r="Y35" s="8"/>
      <c r="Z35" s="60">
        <f t="shared" si="0"/>
        <v>2.2813040278777293E-2</v>
      </c>
      <c r="AA35" s="53">
        <f t="shared" si="1"/>
        <v>2.2813040278777293E-2</v>
      </c>
      <c r="AB35">
        <f t="shared" si="2"/>
        <v>0.81433792000000005</v>
      </c>
    </row>
    <row r="36" spans="1:28" x14ac:dyDescent="0.25">
      <c r="A36" s="3" t="s">
        <v>525</v>
      </c>
      <c r="B36" s="4">
        <v>9.0079999999999991</v>
      </c>
      <c r="C36" s="5">
        <v>46082</v>
      </c>
      <c r="D36" s="6">
        <v>42794</v>
      </c>
      <c r="E36" s="7">
        <v>0.81396514799999997</v>
      </c>
      <c r="F36" s="7">
        <v>2.5371699470000002</v>
      </c>
      <c r="G36" s="7">
        <v>2.3113052139999999</v>
      </c>
      <c r="H36" s="7">
        <v>2.2099090000000001</v>
      </c>
      <c r="I36" s="7">
        <v>2.2215569999999998</v>
      </c>
      <c r="J36" s="8" t="s">
        <v>187</v>
      </c>
      <c r="K36" s="8"/>
      <c r="L36" s="7">
        <v>0</v>
      </c>
      <c r="M36" s="7">
        <v>119.2</v>
      </c>
      <c r="N36" s="7">
        <v>119.2</v>
      </c>
      <c r="O36" s="8" t="s">
        <v>502</v>
      </c>
      <c r="P36" s="8" t="s">
        <v>503</v>
      </c>
      <c r="Q36" s="8" t="s">
        <v>496</v>
      </c>
      <c r="R36" s="8" t="s">
        <v>504</v>
      </c>
      <c r="S36" s="7">
        <v>4.5</v>
      </c>
      <c r="T36" s="59">
        <v>1</v>
      </c>
      <c r="U36" s="7">
        <v>0</v>
      </c>
      <c r="V36" s="8" t="s">
        <v>497</v>
      </c>
      <c r="W36" s="7">
        <v>100</v>
      </c>
      <c r="X36" s="8"/>
      <c r="Y36" s="8"/>
      <c r="Z36" s="60">
        <f t="shared" si="0"/>
        <v>2.2849991274840824E-2</v>
      </c>
      <c r="AA36" s="53">
        <f t="shared" si="1"/>
        <v>2.2849991274840824E-2</v>
      </c>
      <c r="AB36">
        <f t="shared" si="2"/>
        <v>0.81396514799999997</v>
      </c>
    </row>
    <row r="37" spans="1:28" ht="21" hidden="1" x14ac:dyDescent="0.25">
      <c r="A37" s="3" t="s">
        <v>348</v>
      </c>
      <c r="B37" s="4">
        <v>9.51</v>
      </c>
      <c r="C37" s="5">
        <v>46265</v>
      </c>
      <c r="D37" s="6">
        <v>42794</v>
      </c>
      <c r="E37" s="7">
        <v>0.80976832399999998</v>
      </c>
      <c r="F37" s="7">
        <v>2.4703603140000001</v>
      </c>
      <c r="G37" s="7">
        <v>2.2436880069999998</v>
      </c>
      <c r="H37" s="7">
        <v>2.1560839999999999</v>
      </c>
      <c r="I37" s="7">
        <v>2.1677460000000002</v>
      </c>
      <c r="J37" s="8"/>
      <c r="K37" s="8"/>
      <c r="L37" s="7"/>
      <c r="M37" s="7"/>
      <c r="N37" s="7"/>
      <c r="O37" s="8"/>
      <c r="P37" s="8"/>
      <c r="Q37" s="8"/>
      <c r="R37" s="8"/>
      <c r="S37" s="7"/>
      <c r="T37" s="59"/>
      <c r="U37" s="7"/>
      <c r="V37" s="8"/>
      <c r="W37" s="7"/>
      <c r="X37" s="8"/>
      <c r="Y37" s="8"/>
      <c r="Z37" s="60">
        <f t="shared" si="0"/>
        <v>2.2188875993307194E-2</v>
      </c>
      <c r="AA37" s="53">
        <f t="shared" si="1"/>
        <v>2.2188875993307194E-2</v>
      </c>
      <c r="AB37">
        <f t="shared" si="2"/>
        <v>0.80976832399999998</v>
      </c>
    </row>
    <row r="38" spans="1:28" x14ac:dyDescent="0.25">
      <c r="A38" s="3" t="s">
        <v>526</v>
      </c>
      <c r="B38" s="4">
        <v>9.7620000000000005</v>
      </c>
      <c r="C38" s="5">
        <v>46357</v>
      </c>
      <c r="D38" s="6">
        <v>42794</v>
      </c>
      <c r="E38" s="7">
        <v>0.80774856299999997</v>
      </c>
      <c r="F38" s="7">
        <v>2.4382062590000002</v>
      </c>
      <c r="G38" s="7">
        <v>2.2112713080000002</v>
      </c>
      <c r="H38" s="7">
        <v>2.1298249999999999</v>
      </c>
      <c r="I38" s="7">
        <v>2.1413359999999999</v>
      </c>
      <c r="J38" s="8" t="s">
        <v>187</v>
      </c>
      <c r="K38" s="8"/>
      <c r="L38" s="7">
        <v>0</v>
      </c>
      <c r="M38" s="7">
        <v>92.045000000000002</v>
      </c>
      <c r="N38" s="7">
        <v>92.045000000000002</v>
      </c>
      <c r="O38" s="8" t="s">
        <v>502</v>
      </c>
      <c r="P38" s="8" t="s">
        <v>503</v>
      </c>
      <c r="Q38" s="8" t="s">
        <v>496</v>
      </c>
      <c r="R38" s="8" t="s">
        <v>504</v>
      </c>
      <c r="S38" s="7">
        <v>1.25</v>
      </c>
      <c r="T38" s="59">
        <v>1</v>
      </c>
      <c r="U38" s="7">
        <v>0</v>
      </c>
      <c r="V38" s="8" t="s">
        <v>497</v>
      </c>
      <c r="W38" s="7">
        <v>100</v>
      </c>
      <c r="X38" s="8"/>
      <c r="Y38" s="8"/>
      <c r="Z38" s="60">
        <f t="shared" si="0"/>
        <v>2.1871772509861696E-2</v>
      </c>
      <c r="AA38" s="53">
        <f t="shared" si="1"/>
        <v>2.1871772509861696E-2</v>
      </c>
      <c r="AB38">
        <f t="shared" si="2"/>
        <v>0.80774856299999997</v>
      </c>
    </row>
    <row r="39" spans="1:28" hidden="1" x14ac:dyDescent="0.25">
      <c r="A39" s="3" t="s">
        <v>527</v>
      </c>
      <c r="B39" s="4">
        <v>10</v>
      </c>
      <c r="C39" s="5">
        <v>46444</v>
      </c>
      <c r="D39" s="6">
        <v>42794</v>
      </c>
      <c r="E39" s="7">
        <v>0.79741460900000005</v>
      </c>
      <c r="F39" s="7">
        <v>2.5405277100000001</v>
      </c>
      <c r="G39" s="7">
        <v>2.289623765</v>
      </c>
      <c r="H39" s="7">
        <v>2.1986439999999998</v>
      </c>
      <c r="I39" s="7">
        <v>2.2107800000000002</v>
      </c>
      <c r="J39" s="8"/>
      <c r="K39" s="8"/>
      <c r="L39" s="7"/>
      <c r="M39" s="7"/>
      <c r="N39" s="7"/>
      <c r="O39" s="8"/>
      <c r="P39" s="8"/>
      <c r="Q39" s="8"/>
      <c r="R39" s="8"/>
      <c r="S39" s="7"/>
      <c r="T39" s="59"/>
      <c r="U39" s="7"/>
      <c r="V39" s="8"/>
      <c r="W39" s="7"/>
      <c r="X39" s="8"/>
      <c r="Y39" s="8"/>
      <c r="Z39" s="60">
        <f t="shared" si="0"/>
        <v>2.2638052341013015E-2</v>
      </c>
      <c r="AA39" s="53">
        <f t="shared" si="1"/>
        <v>2.2638052341013015E-2</v>
      </c>
      <c r="AB39">
        <f t="shared" si="2"/>
        <v>0.79741460900000005</v>
      </c>
    </row>
    <row r="40" spans="1:28" ht="21" hidden="1" x14ac:dyDescent="0.25">
      <c r="A40" s="3" t="s">
        <v>349</v>
      </c>
      <c r="B40" s="4">
        <v>10.51</v>
      </c>
      <c r="C40" s="5">
        <v>46630</v>
      </c>
      <c r="D40" s="6">
        <v>42794</v>
      </c>
      <c r="E40" s="7">
        <v>0.775762646</v>
      </c>
      <c r="F40" s="7">
        <v>2.750384188</v>
      </c>
      <c r="G40" s="7">
        <v>2.4453925330000001</v>
      </c>
      <c r="H40" s="7">
        <v>2.3335360000000001</v>
      </c>
      <c r="I40" s="7">
        <v>2.3472050000000002</v>
      </c>
      <c r="J40" s="8"/>
      <c r="K40" s="8"/>
      <c r="L40" s="7"/>
      <c r="M40" s="7"/>
      <c r="N40" s="7"/>
      <c r="O40" s="8"/>
      <c r="P40" s="8"/>
      <c r="Q40" s="8"/>
      <c r="R40" s="8"/>
      <c r="S40" s="7"/>
      <c r="T40" s="59"/>
      <c r="U40" s="7"/>
      <c r="V40" s="8"/>
      <c r="W40" s="7"/>
      <c r="X40" s="8"/>
      <c r="Y40" s="8"/>
      <c r="Z40" s="60">
        <f t="shared" si="0"/>
        <v>2.4159714823299188E-2</v>
      </c>
      <c r="AA40" s="53">
        <f t="shared" si="1"/>
        <v>2.4159714823299188E-2</v>
      </c>
      <c r="AB40">
        <f t="shared" si="2"/>
        <v>0.775762646</v>
      </c>
    </row>
    <row r="41" spans="1:28" hidden="1" x14ac:dyDescent="0.25">
      <c r="A41" s="3" t="s">
        <v>528</v>
      </c>
      <c r="B41" s="4">
        <v>11.007999999999999</v>
      </c>
      <c r="C41" s="5">
        <v>46812</v>
      </c>
      <c r="D41" s="6">
        <v>42794</v>
      </c>
      <c r="E41" s="7">
        <v>0.75514550800000002</v>
      </c>
      <c r="F41" s="7">
        <v>2.9455090660000001</v>
      </c>
      <c r="G41" s="7">
        <v>2.5840508369999999</v>
      </c>
      <c r="H41" s="7">
        <v>2.4520080000000002</v>
      </c>
      <c r="I41" s="7">
        <v>2.4670999999999998</v>
      </c>
      <c r="J41" s="8"/>
      <c r="K41" s="8"/>
      <c r="L41" s="7"/>
      <c r="M41" s="7"/>
      <c r="N41" s="7"/>
      <c r="O41" s="8"/>
      <c r="P41" s="8"/>
      <c r="Q41" s="8"/>
      <c r="R41" s="8"/>
      <c r="S41" s="7"/>
      <c r="T41" s="59"/>
      <c r="U41" s="7"/>
      <c r="V41" s="8"/>
      <c r="W41" s="7"/>
      <c r="X41" s="8"/>
      <c r="Y41" s="8"/>
      <c r="Z41" s="60">
        <f t="shared" si="0"/>
        <v>2.5512284769339231E-2</v>
      </c>
      <c r="AA41" s="53">
        <f t="shared" si="1"/>
        <v>2.5512284769339231E-2</v>
      </c>
      <c r="AB41">
        <f t="shared" si="2"/>
        <v>0.75514550800000002</v>
      </c>
    </row>
    <row r="42" spans="1:28" ht="21" hidden="1" x14ac:dyDescent="0.25">
      <c r="A42" s="3" t="s">
        <v>350</v>
      </c>
      <c r="B42" s="4">
        <v>11.512</v>
      </c>
      <c r="C42" s="5">
        <v>46996</v>
      </c>
      <c r="D42" s="6">
        <v>42794</v>
      </c>
      <c r="E42" s="7">
        <v>0.73485875300000003</v>
      </c>
      <c r="F42" s="7">
        <v>3.1340811679999998</v>
      </c>
      <c r="G42" s="7">
        <v>2.7121893379999999</v>
      </c>
      <c r="H42" s="7">
        <v>2.560187</v>
      </c>
      <c r="I42" s="7">
        <v>2.576632</v>
      </c>
      <c r="J42" s="8"/>
      <c r="K42" s="8"/>
      <c r="L42" s="7"/>
      <c r="M42" s="7"/>
      <c r="N42" s="7"/>
      <c r="O42" s="8"/>
      <c r="P42" s="8"/>
      <c r="Q42" s="8"/>
      <c r="R42" s="8"/>
      <c r="S42" s="7"/>
      <c r="T42" s="59"/>
      <c r="U42" s="7"/>
      <c r="V42" s="8"/>
      <c r="W42" s="7"/>
      <c r="X42" s="8"/>
      <c r="Y42" s="8"/>
      <c r="Z42" s="60">
        <f t="shared" si="0"/>
        <v>2.6760612666463575E-2</v>
      </c>
      <c r="AA42" s="53">
        <f t="shared" si="1"/>
        <v>2.6760612666463575E-2</v>
      </c>
      <c r="AB42">
        <f t="shared" si="2"/>
        <v>0.73485875300000003</v>
      </c>
    </row>
    <row r="43" spans="1:28" x14ac:dyDescent="0.25">
      <c r="A43" s="3" t="s">
        <v>529</v>
      </c>
      <c r="B43" s="4">
        <v>11.515000000000001</v>
      </c>
      <c r="C43" s="5">
        <v>46997</v>
      </c>
      <c r="D43" s="6">
        <v>42794</v>
      </c>
      <c r="E43" s="7">
        <v>0.73475000099999999</v>
      </c>
      <c r="F43" s="7">
        <v>3.1350846360000002</v>
      </c>
      <c r="G43" s="7">
        <v>2.7128555080000001</v>
      </c>
      <c r="H43" s="7">
        <v>2.5607389999999999</v>
      </c>
      <c r="I43" s="7">
        <v>2.5771950000000001</v>
      </c>
      <c r="J43" s="8" t="s">
        <v>187</v>
      </c>
      <c r="K43" s="8"/>
      <c r="L43" s="7">
        <v>0</v>
      </c>
      <c r="M43" s="7">
        <v>122.595</v>
      </c>
      <c r="N43" s="7">
        <v>122.595</v>
      </c>
      <c r="O43" s="8" t="s">
        <v>502</v>
      </c>
      <c r="P43" s="8" t="s">
        <v>503</v>
      </c>
      <c r="Q43" s="8" t="s">
        <v>496</v>
      </c>
      <c r="R43" s="8" t="s">
        <v>504</v>
      </c>
      <c r="S43" s="7">
        <v>4.75</v>
      </c>
      <c r="T43" s="59">
        <v>1</v>
      </c>
      <c r="U43" s="7">
        <v>0</v>
      </c>
      <c r="V43" s="8" t="s">
        <v>497</v>
      </c>
      <c r="W43" s="7">
        <v>100</v>
      </c>
      <c r="X43" s="8"/>
      <c r="Y43" s="8"/>
      <c r="Z43" s="60">
        <f t="shared" si="0"/>
        <v>2.6767098476699426E-2</v>
      </c>
      <c r="AA43" s="53">
        <f t="shared" si="1"/>
        <v>2.6767098476699426E-2</v>
      </c>
      <c r="AB43">
        <f t="shared" si="2"/>
        <v>0.73475000099999999</v>
      </c>
    </row>
    <row r="44" spans="1:28" hidden="1" x14ac:dyDescent="0.25">
      <c r="A44" s="3" t="s">
        <v>530</v>
      </c>
      <c r="B44" s="4">
        <v>12.007999999999999</v>
      </c>
      <c r="C44" s="5">
        <v>47177</v>
      </c>
      <c r="D44" s="6">
        <v>42794</v>
      </c>
      <c r="E44" s="7">
        <v>0.72501627000000002</v>
      </c>
      <c r="F44" s="7">
        <v>3.158498249</v>
      </c>
      <c r="G44" s="7">
        <v>2.7140187830000002</v>
      </c>
      <c r="H44" s="7">
        <v>2.5661399999999999</v>
      </c>
      <c r="I44" s="7">
        <v>2.5826639999999998</v>
      </c>
      <c r="J44" s="8"/>
      <c r="K44" s="8"/>
      <c r="L44" s="7"/>
      <c r="M44" s="7"/>
      <c r="N44" s="7"/>
      <c r="O44" s="8"/>
      <c r="P44" s="8"/>
      <c r="Q44" s="8"/>
      <c r="R44" s="8"/>
      <c r="S44" s="7"/>
      <c r="T44" s="59"/>
      <c r="U44" s="7"/>
      <c r="V44" s="8"/>
      <c r="W44" s="7"/>
      <c r="X44" s="8"/>
      <c r="Y44" s="8"/>
      <c r="Z44" s="60">
        <f t="shared" si="0"/>
        <v>2.6778423863788252E-2</v>
      </c>
      <c r="AA44" s="53">
        <f t="shared" si="1"/>
        <v>2.6778423863788252E-2</v>
      </c>
      <c r="AB44">
        <f t="shared" si="2"/>
        <v>0.72501627000000002</v>
      </c>
    </row>
    <row r="45" spans="1:28" ht="21" hidden="1" x14ac:dyDescent="0.25">
      <c r="A45" s="3" t="s">
        <v>351</v>
      </c>
      <c r="B45" s="4">
        <v>12.512</v>
      </c>
      <c r="C45" s="5">
        <v>47361</v>
      </c>
      <c r="D45" s="6">
        <v>42794</v>
      </c>
      <c r="E45" s="7">
        <v>0.71519949900000002</v>
      </c>
      <c r="F45" s="7">
        <v>3.1825511999999998</v>
      </c>
      <c r="G45" s="7">
        <v>2.715113144</v>
      </c>
      <c r="H45" s="7">
        <v>2.57124</v>
      </c>
      <c r="I45" s="7">
        <v>2.5878230000000002</v>
      </c>
      <c r="J45" s="8"/>
      <c r="K45" s="8"/>
      <c r="L45" s="7"/>
      <c r="M45" s="7"/>
      <c r="N45" s="7"/>
      <c r="O45" s="8"/>
      <c r="P45" s="8"/>
      <c r="Q45" s="8"/>
      <c r="R45" s="8"/>
      <c r="S45" s="7"/>
      <c r="T45" s="59"/>
      <c r="U45" s="7"/>
      <c r="V45" s="8"/>
      <c r="W45" s="7"/>
      <c r="X45" s="8"/>
      <c r="Y45" s="8"/>
      <c r="Z45" s="60">
        <f t="shared" si="0"/>
        <v>2.6789078345445218E-2</v>
      </c>
      <c r="AA45" s="53">
        <f t="shared" si="1"/>
        <v>2.6789078345445218E-2</v>
      </c>
      <c r="AB45">
        <f t="shared" si="2"/>
        <v>0.71519949900000002</v>
      </c>
    </row>
    <row r="46" spans="1:28" hidden="1" x14ac:dyDescent="0.25">
      <c r="A46" s="3" t="s">
        <v>57</v>
      </c>
      <c r="B46" s="4">
        <v>13.007999999999999</v>
      </c>
      <c r="C46" s="5">
        <v>47542</v>
      </c>
      <c r="D46" s="6">
        <v>42794</v>
      </c>
      <c r="E46" s="7">
        <v>0.70567248199999999</v>
      </c>
      <c r="F46" s="7">
        <v>3.2063419780000002</v>
      </c>
      <c r="G46" s="7">
        <v>2.7161069160000002</v>
      </c>
      <c r="H46" s="7">
        <v>2.5758719999999999</v>
      </c>
      <c r="I46" s="7">
        <v>2.5925180000000001</v>
      </c>
      <c r="J46" s="8"/>
      <c r="K46" s="8"/>
      <c r="L46" s="7"/>
      <c r="M46" s="7"/>
      <c r="N46" s="7"/>
      <c r="O46" s="8"/>
      <c r="P46" s="8"/>
      <c r="Q46" s="8"/>
      <c r="R46" s="8"/>
      <c r="S46" s="7"/>
      <c r="T46" s="59"/>
      <c r="U46" s="7"/>
      <c r="V46" s="8"/>
      <c r="W46" s="7"/>
      <c r="X46" s="8"/>
      <c r="Y46" s="8"/>
      <c r="Z46" s="60">
        <f t="shared" si="0"/>
        <v>2.6798753224404753E-2</v>
      </c>
      <c r="AA46" s="53">
        <f t="shared" si="1"/>
        <v>2.6798753224404753E-2</v>
      </c>
      <c r="AB46">
        <f t="shared" si="2"/>
        <v>0.70567248199999999</v>
      </c>
    </row>
    <row r="47" spans="1:28" ht="21" x14ac:dyDescent="0.25">
      <c r="A47" s="3" t="s">
        <v>531</v>
      </c>
      <c r="B47" s="4">
        <v>13.010999999999999</v>
      </c>
      <c r="C47" s="5">
        <v>47543</v>
      </c>
      <c r="D47" s="6">
        <v>42794</v>
      </c>
      <c r="E47" s="7">
        <v>0.70562020000000003</v>
      </c>
      <c r="F47" s="7">
        <v>3.2064737989999998</v>
      </c>
      <c r="G47" s="7">
        <v>2.7161121960000001</v>
      </c>
      <c r="H47" s="7">
        <v>2.5758939999999999</v>
      </c>
      <c r="I47" s="7">
        <v>2.592543</v>
      </c>
      <c r="J47" s="8" t="s">
        <v>187</v>
      </c>
      <c r="K47" s="8"/>
      <c r="L47" s="7">
        <v>0</v>
      </c>
      <c r="M47" s="7">
        <v>110.51</v>
      </c>
      <c r="N47" s="7">
        <v>110.51</v>
      </c>
      <c r="O47" s="8" t="s">
        <v>502</v>
      </c>
      <c r="P47" s="8" t="s">
        <v>503</v>
      </c>
      <c r="Q47" s="8" t="s">
        <v>496</v>
      </c>
      <c r="R47" s="8" t="s">
        <v>504</v>
      </c>
      <c r="S47" s="7">
        <v>3.5</v>
      </c>
      <c r="T47" s="59">
        <v>1</v>
      </c>
      <c r="U47" s="7">
        <v>0</v>
      </c>
      <c r="V47" s="8" t="s">
        <v>497</v>
      </c>
      <c r="W47" s="7">
        <v>100</v>
      </c>
      <c r="X47" s="8"/>
      <c r="Y47" s="8"/>
      <c r="Z47" s="60">
        <f t="shared" si="0"/>
        <v>2.6798804696192398E-2</v>
      </c>
      <c r="AA47" s="53">
        <f t="shared" si="1"/>
        <v>2.6798804696192398E-2</v>
      </c>
      <c r="AB47">
        <f t="shared" si="2"/>
        <v>0.70562020000000003</v>
      </c>
    </row>
    <row r="48" spans="1:28" ht="21" hidden="1" x14ac:dyDescent="0.25">
      <c r="A48" s="3" t="s">
        <v>353</v>
      </c>
      <c r="B48" s="4">
        <v>13.51</v>
      </c>
      <c r="C48" s="5">
        <v>47725</v>
      </c>
      <c r="D48" s="6">
        <v>42794</v>
      </c>
      <c r="E48" s="7">
        <v>0.70004870100000005</v>
      </c>
      <c r="F48" s="7">
        <v>3.1716142060000001</v>
      </c>
      <c r="G48" s="7">
        <v>2.6747935809999999</v>
      </c>
      <c r="H48" s="7">
        <v>2.5468579999999998</v>
      </c>
      <c r="I48" s="7">
        <v>2.5631270000000002</v>
      </c>
      <c r="J48" s="8"/>
      <c r="K48" s="8"/>
      <c r="L48" s="7"/>
      <c r="M48" s="7"/>
      <c r="N48" s="7"/>
      <c r="O48" s="8"/>
      <c r="P48" s="8"/>
      <c r="Q48" s="8"/>
      <c r="R48" s="8"/>
      <c r="S48" s="7"/>
      <c r="T48" s="59"/>
      <c r="U48" s="7"/>
      <c r="V48" s="8"/>
      <c r="W48" s="7"/>
      <c r="X48" s="8"/>
      <c r="Y48" s="8"/>
      <c r="Z48" s="60">
        <f t="shared" si="0"/>
        <v>2.639646346138896E-2</v>
      </c>
      <c r="AA48" s="53">
        <f t="shared" si="1"/>
        <v>2.639646346138896E-2</v>
      </c>
      <c r="AB48">
        <f t="shared" si="2"/>
        <v>0.70004870100000005</v>
      </c>
    </row>
    <row r="49" spans="1:28" hidden="1" x14ac:dyDescent="0.25">
      <c r="A49" s="3" t="s">
        <v>58</v>
      </c>
      <c r="B49" s="4">
        <v>14.007999999999999</v>
      </c>
      <c r="C49" s="5">
        <v>47907</v>
      </c>
      <c r="D49" s="6">
        <v>42794</v>
      </c>
      <c r="E49" s="7">
        <v>0.69452119400000001</v>
      </c>
      <c r="F49" s="7">
        <v>3.1398771220000001</v>
      </c>
      <c r="G49" s="7">
        <v>2.6364313699999999</v>
      </c>
      <c r="H49" s="7">
        <v>2.519685</v>
      </c>
      <c r="I49" s="7">
        <v>2.5356139999999998</v>
      </c>
      <c r="J49" s="8"/>
      <c r="K49" s="8"/>
      <c r="L49" s="7"/>
      <c r="M49" s="7"/>
      <c r="N49" s="7"/>
      <c r="O49" s="8"/>
      <c r="P49" s="8"/>
      <c r="Q49" s="8"/>
      <c r="R49" s="8"/>
      <c r="S49" s="7"/>
      <c r="T49" s="59"/>
      <c r="U49" s="7"/>
      <c r="V49" s="8"/>
      <c r="W49" s="7"/>
      <c r="X49" s="8"/>
      <c r="Y49" s="8"/>
      <c r="Z49" s="60">
        <f t="shared" si="0"/>
        <v>2.6022765328021551E-2</v>
      </c>
      <c r="AA49" s="53">
        <f t="shared" si="1"/>
        <v>2.6022765328021551E-2</v>
      </c>
      <c r="AB49">
        <f t="shared" si="2"/>
        <v>0.69452119400000001</v>
      </c>
    </row>
    <row r="50" spans="1:28" ht="21" hidden="1" x14ac:dyDescent="0.25">
      <c r="A50" s="3" t="s">
        <v>355</v>
      </c>
      <c r="B50" s="4">
        <v>14.507</v>
      </c>
      <c r="C50" s="5">
        <v>48089</v>
      </c>
      <c r="D50" s="6">
        <v>42794</v>
      </c>
      <c r="E50" s="7">
        <v>0.68903733199999995</v>
      </c>
      <c r="F50" s="7">
        <v>3.1109454909999998</v>
      </c>
      <c r="G50" s="7">
        <v>2.6007192250000002</v>
      </c>
      <c r="H50" s="7">
        <v>2.4942449999999998</v>
      </c>
      <c r="I50" s="7">
        <v>2.5098539999999998</v>
      </c>
      <c r="J50" s="8"/>
      <c r="K50" s="8"/>
      <c r="L50" s="7"/>
      <c r="M50" s="7"/>
      <c r="N50" s="7"/>
      <c r="O50" s="8"/>
      <c r="P50" s="8"/>
      <c r="Q50" s="8"/>
      <c r="R50" s="8"/>
      <c r="S50" s="7"/>
      <c r="T50" s="59"/>
      <c r="U50" s="7"/>
      <c r="V50" s="8"/>
      <c r="W50" s="7"/>
      <c r="X50" s="8"/>
      <c r="Y50" s="8"/>
      <c r="Z50" s="60">
        <f t="shared" si="0"/>
        <v>2.5674756694116035E-2</v>
      </c>
      <c r="AA50" s="53">
        <f t="shared" si="1"/>
        <v>2.5674756694116035E-2</v>
      </c>
      <c r="AB50">
        <f t="shared" si="2"/>
        <v>0.68903733199999995</v>
      </c>
    </row>
    <row r="51" spans="1:28" hidden="1" x14ac:dyDescent="0.25">
      <c r="A51" s="3" t="s">
        <v>532</v>
      </c>
      <c r="B51" s="4">
        <v>15.005000000000001</v>
      </c>
      <c r="C51" s="5">
        <v>48271</v>
      </c>
      <c r="D51" s="6">
        <v>42794</v>
      </c>
      <c r="E51" s="7">
        <v>0.68359676899999999</v>
      </c>
      <c r="F51" s="7">
        <v>3.0845444359999998</v>
      </c>
      <c r="G51" s="7">
        <v>2.5673917140000002</v>
      </c>
      <c r="H51" s="7">
        <v>2.4703400000000002</v>
      </c>
      <c r="I51" s="7">
        <v>2.4856600000000002</v>
      </c>
      <c r="J51" s="8"/>
      <c r="K51" s="8"/>
      <c r="L51" s="7"/>
      <c r="M51" s="7"/>
      <c r="N51" s="7"/>
      <c r="O51" s="8"/>
      <c r="P51" s="8"/>
      <c r="Q51" s="8"/>
      <c r="R51" s="8"/>
      <c r="S51" s="7"/>
      <c r="T51" s="59"/>
      <c r="U51" s="7"/>
      <c r="V51" s="8"/>
      <c r="W51" s="7"/>
      <c r="X51" s="8"/>
      <c r="Y51" s="8"/>
      <c r="Z51" s="60">
        <f t="shared" si="0"/>
        <v>2.5349876717734435E-2</v>
      </c>
      <c r="AA51" s="53">
        <f t="shared" si="1"/>
        <v>2.5349876717734435E-2</v>
      </c>
      <c r="AB51">
        <f t="shared" si="2"/>
        <v>0.68359676899999999</v>
      </c>
    </row>
    <row r="52" spans="1:28" x14ac:dyDescent="0.25">
      <c r="A52" s="3" t="s">
        <v>533</v>
      </c>
      <c r="B52" s="4">
        <v>15.013999999999999</v>
      </c>
      <c r="C52" s="5">
        <v>48274</v>
      </c>
      <c r="D52" s="6">
        <v>42794</v>
      </c>
      <c r="E52" s="7">
        <v>0.68350745099999999</v>
      </c>
      <c r="F52" s="7">
        <v>3.0841290610000001</v>
      </c>
      <c r="G52" s="7">
        <v>2.5668609930000001</v>
      </c>
      <c r="H52" s="7">
        <v>2.469954</v>
      </c>
      <c r="I52" s="7">
        <v>2.4852759999999998</v>
      </c>
      <c r="J52" s="8" t="s">
        <v>187</v>
      </c>
      <c r="K52" s="8"/>
      <c r="L52" s="7">
        <v>0</v>
      </c>
      <c r="M52" s="7">
        <v>89.465000000000003</v>
      </c>
      <c r="N52" s="7">
        <v>89.465000000000003</v>
      </c>
      <c r="O52" s="8" t="s">
        <v>502</v>
      </c>
      <c r="P52" s="8" t="s">
        <v>503</v>
      </c>
      <c r="Q52" s="8" t="s">
        <v>496</v>
      </c>
      <c r="R52" s="8" t="s">
        <v>504</v>
      </c>
      <c r="S52" s="7">
        <v>1.65</v>
      </c>
      <c r="T52" s="59">
        <v>1</v>
      </c>
      <c r="U52" s="7">
        <v>0</v>
      </c>
      <c r="V52" s="8" t="s">
        <v>497</v>
      </c>
      <c r="W52" s="7">
        <v>100</v>
      </c>
      <c r="X52" s="8"/>
      <c r="Y52" s="8"/>
      <c r="Z52" s="60">
        <f t="shared" si="0"/>
        <v>2.5344702262115403E-2</v>
      </c>
      <c r="AA52" s="53">
        <f t="shared" si="1"/>
        <v>2.5344702262115403E-2</v>
      </c>
      <c r="AB52">
        <f t="shared" si="2"/>
        <v>0.68350745099999999</v>
      </c>
    </row>
    <row r="53" spans="1:28" ht="21" hidden="1" x14ac:dyDescent="0.25">
      <c r="A53" s="3" t="s">
        <v>356</v>
      </c>
      <c r="B53" s="4">
        <v>15.515000000000001</v>
      </c>
      <c r="C53" s="5">
        <v>48457</v>
      </c>
      <c r="D53" s="6">
        <v>42794</v>
      </c>
      <c r="E53" s="7">
        <v>0.66122561099999999</v>
      </c>
      <c r="F53" s="7">
        <v>3.3022291579999998</v>
      </c>
      <c r="G53" s="7">
        <v>2.7020440620000001</v>
      </c>
      <c r="H53" s="7">
        <v>2.5772029999999999</v>
      </c>
      <c r="I53" s="7">
        <v>2.5938759999999998</v>
      </c>
      <c r="J53" s="8"/>
      <c r="K53" s="8"/>
      <c r="L53" s="7"/>
      <c r="M53" s="7"/>
      <c r="N53" s="7"/>
      <c r="O53" s="8"/>
      <c r="P53" s="8"/>
      <c r="Q53" s="8"/>
      <c r="R53" s="8"/>
      <c r="S53" s="7"/>
      <c r="T53" s="59"/>
      <c r="U53" s="7"/>
      <c r="V53" s="8"/>
      <c r="W53" s="7"/>
      <c r="X53" s="8"/>
      <c r="Y53" s="8"/>
      <c r="Z53" s="60">
        <f t="shared" si="0"/>
        <v>2.6661833935715317E-2</v>
      </c>
      <c r="AA53" s="53">
        <f t="shared" si="1"/>
        <v>2.6661833935715317E-2</v>
      </c>
      <c r="AB53">
        <f t="shared" si="2"/>
        <v>0.66122561099999999</v>
      </c>
    </row>
    <row r="54" spans="1:28" hidden="1" x14ac:dyDescent="0.25">
      <c r="A54" s="3" t="s">
        <v>60</v>
      </c>
      <c r="B54" s="4">
        <v>16.010999999999999</v>
      </c>
      <c r="C54" s="5">
        <v>48638</v>
      </c>
      <c r="D54" s="6">
        <v>42794</v>
      </c>
      <c r="E54" s="7">
        <v>0.63990188100000001</v>
      </c>
      <c r="F54" s="7">
        <v>3.514715072</v>
      </c>
      <c r="G54" s="7">
        <v>2.8275809650000001</v>
      </c>
      <c r="H54" s="7">
        <v>2.674849</v>
      </c>
      <c r="I54" s="7">
        <v>2.692812</v>
      </c>
      <c r="J54" s="8"/>
      <c r="K54" s="8"/>
      <c r="L54" s="7"/>
      <c r="M54" s="7"/>
      <c r="N54" s="7"/>
      <c r="O54" s="8"/>
      <c r="P54" s="8"/>
      <c r="Q54" s="8"/>
      <c r="R54" s="8"/>
      <c r="S54" s="7"/>
      <c r="T54" s="59"/>
      <c r="U54" s="7"/>
      <c r="V54" s="8"/>
      <c r="W54" s="7"/>
      <c r="X54" s="8"/>
      <c r="Y54" s="8"/>
      <c r="Z54" s="60">
        <f t="shared" si="0"/>
        <v>2.7883428343860973E-2</v>
      </c>
      <c r="AA54" s="53">
        <f t="shared" si="1"/>
        <v>2.7883428343860973E-2</v>
      </c>
      <c r="AB54">
        <f t="shared" si="2"/>
        <v>0.63990188100000001</v>
      </c>
    </row>
    <row r="55" spans="1:28" ht="21" hidden="1" x14ac:dyDescent="0.25">
      <c r="A55" s="3" t="s">
        <v>358</v>
      </c>
      <c r="B55" s="4">
        <v>16.515000000000001</v>
      </c>
      <c r="C55" s="5">
        <v>48822</v>
      </c>
      <c r="D55" s="6">
        <v>42794</v>
      </c>
      <c r="E55" s="7">
        <v>0.61892944800000005</v>
      </c>
      <c r="F55" s="7">
        <v>3.728068328</v>
      </c>
      <c r="G55" s="7">
        <v>2.9476144940000002</v>
      </c>
      <c r="H55" s="7">
        <v>2.7665150000000001</v>
      </c>
      <c r="I55" s="7">
        <v>2.7857240000000001</v>
      </c>
      <c r="J55" s="8"/>
      <c r="K55" s="8"/>
      <c r="L55" s="7"/>
      <c r="M55" s="7"/>
      <c r="N55" s="7"/>
      <c r="O55" s="8"/>
      <c r="P55" s="8"/>
      <c r="Q55" s="8"/>
      <c r="R55" s="8"/>
      <c r="S55" s="7"/>
      <c r="T55" s="59"/>
      <c r="U55" s="7"/>
      <c r="V55" s="8"/>
      <c r="W55" s="7"/>
      <c r="X55" s="8"/>
      <c r="Y55" s="8"/>
      <c r="Z55" s="60">
        <f t="shared" si="0"/>
        <v>2.9050075715720165E-2</v>
      </c>
      <c r="AA55" s="53">
        <f t="shared" si="1"/>
        <v>2.9050075715720165E-2</v>
      </c>
      <c r="AB55">
        <f t="shared" si="2"/>
        <v>0.61892944800000005</v>
      </c>
    </row>
    <row r="56" spans="1:28" hidden="1" x14ac:dyDescent="0.25">
      <c r="A56" s="3" t="s">
        <v>61</v>
      </c>
      <c r="B56" s="4">
        <v>17.010999999999999</v>
      </c>
      <c r="C56" s="5">
        <v>49003</v>
      </c>
      <c r="D56" s="6">
        <v>42794</v>
      </c>
      <c r="E56" s="7">
        <v>0.59896971799999998</v>
      </c>
      <c r="F56" s="7">
        <v>3.9358950090000002</v>
      </c>
      <c r="G56" s="7">
        <v>3.0588746740000001</v>
      </c>
      <c r="H56" s="7">
        <v>2.8499620000000001</v>
      </c>
      <c r="I56" s="7">
        <v>2.870349</v>
      </c>
      <c r="J56" s="8"/>
      <c r="K56" s="8"/>
      <c r="L56" s="7"/>
      <c r="M56" s="7"/>
      <c r="N56" s="7"/>
      <c r="O56" s="8"/>
      <c r="P56" s="8"/>
      <c r="Q56" s="8"/>
      <c r="R56" s="8"/>
      <c r="S56" s="7"/>
      <c r="T56" s="59"/>
      <c r="U56" s="7"/>
      <c r="V56" s="8"/>
      <c r="W56" s="7"/>
      <c r="X56" s="8"/>
      <c r="Y56" s="8"/>
      <c r="Z56" s="60">
        <f t="shared" si="0"/>
        <v>3.013023776560118E-2</v>
      </c>
      <c r="AA56" s="53">
        <f t="shared" si="1"/>
        <v>3.013023776560118E-2</v>
      </c>
      <c r="AB56">
        <f t="shared" si="2"/>
        <v>0.59896971799999998</v>
      </c>
    </row>
    <row r="57" spans="1:28" x14ac:dyDescent="0.25">
      <c r="A57" s="3" t="s">
        <v>534</v>
      </c>
      <c r="B57" s="4">
        <v>17.433</v>
      </c>
      <c r="C57" s="5">
        <v>49157</v>
      </c>
      <c r="D57" s="6">
        <v>42794</v>
      </c>
      <c r="E57" s="7">
        <v>0.58249503899999999</v>
      </c>
      <c r="F57" s="7">
        <v>4.1115005299999998</v>
      </c>
      <c r="G57" s="7">
        <v>3.1486416990000001</v>
      </c>
      <c r="H57" s="7">
        <v>2.9161069999999998</v>
      </c>
      <c r="I57" s="7">
        <v>2.937513</v>
      </c>
      <c r="J57" s="8" t="s">
        <v>187</v>
      </c>
      <c r="K57" s="8"/>
      <c r="L57" s="7">
        <v>0</v>
      </c>
      <c r="M57" s="7">
        <v>129.77500000000001</v>
      </c>
      <c r="N57" s="7">
        <v>129.77500000000001</v>
      </c>
      <c r="O57" s="8" t="s">
        <v>502</v>
      </c>
      <c r="P57" s="8" t="s">
        <v>503</v>
      </c>
      <c r="Q57" s="8" t="s">
        <v>496</v>
      </c>
      <c r="R57" s="8" t="s">
        <v>504</v>
      </c>
      <c r="S57" s="7">
        <v>5</v>
      </c>
      <c r="T57" s="59">
        <v>1</v>
      </c>
      <c r="U57" s="7">
        <v>0</v>
      </c>
      <c r="V57" s="8" t="s">
        <v>497</v>
      </c>
      <c r="W57" s="7">
        <v>100</v>
      </c>
      <c r="X57" s="8"/>
      <c r="Y57" s="8"/>
      <c r="Z57" s="60">
        <f t="shared" si="0"/>
        <v>3.1000885237405698E-2</v>
      </c>
      <c r="AA57" s="53">
        <f t="shared" si="1"/>
        <v>3.1000885237405698E-2</v>
      </c>
      <c r="AB57">
        <f t="shared" si="2"/>
        <v>0.58249503899999999</v>
      </c>
    </row>
    <row r="58" spans="1:28" ht="21" hidden="1" x14ac:dyDescent="0.25">
      <c r="A58" s="3" t="s">
        <v>360</v>
      </c>
      <c r="B58" s="4">
        <v>17.515000000000001</v>
      </c>
      <c r="C58" s="5">
        <v>49187</v>
      </c>
      <c r="D58" s="6">
        <v>42794</v>
      </c>
      <c r="E58" s="7">
        <v>0.58207741199999996</v>
      </c>
      <c r="F58" s="7">
        <v>4.0992391760000002</v>
      </c>
      <c r="G58" s="7">
        <v>3.137860442</v>
      </c>
      <c r="H58" s="7">
        <v>2.9093360000000001</v>
      </c>
      <c r="I58" s="7">
        <v>2.9305759999999998</v>
      </c>
      <c r="J58" s="8"/>
      <c r="K58" s="8"/>
      <c r="L58" s="7"/>
      <c r="M58" s="7"/>
      <c r="N58" s="7"/>
      <c r="O58" s="8"/>
      <c r="P58" s="8"/>
      <c r="Q58" s="8"/>
      <c r="R58" s="8"/>
      <c r="S58" s="7"/>
      <c r="T58" s="59"/>
      <c r="U58" s="7"/>
      <c r="V58" s="8"/>
      <c r="W58" s="7"/>
      <c r="X58" s="8"/>
      <c r="Y58" s="8"/>
      <c r="Z58" s="60">
        <f t="shared" si="0"/>
        <v>3.0896358184275823E-2</v>
      </c>
      <c r="AA58" s="53">
        <f t="shared" si="1"/>
        <v>3.0896358184275823E-2</v>
      </c>
      <c r="AB58">
        <f t="shared" si="2"/>
        <v>0.58207741199999996</v>
      </c>
    </row>
    <row r="59" spans="1:28" hidden="1" x14ac:dyDescent="0.25">
      <c r="A59" s="3" t="s">
        <v>62</v>
      </c>
      <c r="B59" s="4">
        <v>18.010999999999999</v>
      </c>
      <c r="C59" s="5">
        <v>49368</v>
      </c>
      <c r="D59" s="6">
        <v>42794</v>
      </c>
      <c r="E59" s="7">
        <v>0.57956407300000001</v>
      </c>
      <c r="F59" s="7">
        <v>4.0277409430000004</v>
      </c>
      <c r="G59" s="7">
        <v>3.074923777</v>
      </c>
      <c r="H59" s="7">
        <v>2.8694120000000001</v>
      </c>
      <c r="I59" s="7">
        <v>2.8900749999999999</v>
      </c>
      <c r="J59" s="8"/>
      <c r="K59" s="8"/>
      <c r="L59" s="7"/>
      <c r="M59" s="7"/>
      <c r="N59" s="7"/>
      <c r="O59" s="8"/>
      <c r="P59" s="8"/>
      <c r="Q59" s="8"/>
      <c r="R59" s="8"/>
      <c r="S59" s="7"/>
      <c r="T59" s="59"/>
      <c r="U59" s="7"/>
      <c r="V59" s="8"/>
      <c r="W59" s="7"/>
      <c r="X59" s="8"/>
      <c r="Y59" s="8"/>
      <c r="Z59" s="60">
        <f t="shared" si="0"/>
        <v>3.0285953080746917E-2</v>
      </c>
      <c r="AA59" s="53">
        <f t="shared" si="1"/>
        <v>3.0285953080746917E-2</v>
      </c>
      <c r="AB59">
        <f t="shared" si="2"/>
        <v>0.57956407300000001</v>
      </c>
    </row>
    <row r="60" spans="1:28" ht="21" hidden="1" x14ac:dyDescent="0.25">
      <c r="A60" s="3" t="s">
        <v>362</v>
      </c>
      <c r="B60" s="4">
        <v>18.515000000000001</v>
      </c>
      <c r="C60" s="5">
        <v>49552</v>
      </c>
      <c r="D60" s="6">
        <v>42794</v>
      </c>
      <c r="E60" s="7">
        <v>0.57702019900000001</v>
      </c>
      <c r="F60" s="7">
        <v>3.9591621510000001</v>
      </c>
      <c r="G60" s="7">
        <v>3.0144357429999999</v>
      </c>
      <c r="H60" s="7">
        <v>2.8306079999999998</v>
      </c>
      <c r="I60" s="7">
        <v>2.850711</v>
      </c>
      <c r="J60" s="8"/>
      <c r="K60" s="8"/>
      <c r="L60" s="7"/>
      <c r="M60" s="7"/>
      <c r="N60" s="7"/>
      <c r="O60" s="8"/>
      <c r="P60" s="8"/>
      <c r="Q60" s="8"/>
      <c r="R60" s="8"/>
      <c r="S60" s="7"/>
      <c r="T60" s="59"/>
      <c r="U60" s="7"/>
      <c r="V60" s="8"/>
      <c r="W60" s="7"/>
      <c r="X60" s="8"/>
      <c r="Y60" s="8"/>
      <c r="Z60" s="60">
        <f t="shared" si="0"/>
        <v>2.9698945286525631E-2</v>
      </c>
      <c r="AA60" s="53">
        <f t="shared" si="1"/>
        <v>2.9698945286525631E-2</v>
      </c>
      <c r="AB60">
        <f t="shared" si="2"/>
        <v>0.57702019900000001</v>
      </c>
    </row>
    <row r="61" spans="1:28" hidden="1" x14ac:dyDescent="0.25">
      <c r="A61" s="3" t="s">
        <v>63</v>
      </c>
      <c r="B61" s="4">
        <v>19.013999999999999</v>
      </c>
      <c r="C61" s="5">
        <v>49734</v>
      </c>
      <c r="D61" s="6">
        <v>42794</v>
      </c>
      <c r="E61" s="7">
        <v>0.57451496099999999</v>
      </c>
      <c r="F61" s="7">
        <v>3.8950796689999998</v>
      </c>
      <c r="G61" s="7">
        <v>2.9577927279999998</v>
      </c>
      <c r="H61" s="7">
        <v>2.7938139999999998</v>
      </c>
      <c r="I61" s="7">
        <v>2.8133970000000001</v>
      </c>
      <c r="J61" s="8"/>
      <c r="K61" s="8"/>
      <c r="L61" s="7"/>
      <c r="M61" s="7"/>
      <c r="N61" s="7"/>
      <c r="O61" s="8"/>
      <c r="P61" s="8"/>
      <c r="Q61" s="8"/>
      <c r="R61" s="8"/>
      <c r="S61" s="7"/>
      <c r="T61" s="59"/>
      <c r="U61" s="7"/>
      <c r="V61" s="8"/>
      <c r="W61" s="7"/>
      <c r="X61" s="8"/>
      <c r="Y61" s="8"/>
      <c r="Z61" s="60">
        <f t="shared" si="0"/>
        <v>2.9148938932822346E-2</v>
      </c>
      <c r="AA61" s="53">
        <f t="shared" si="1"/>
        <v>2.9148938932822346E-2</v>
      </c>
      <c r="AB61">
        <f t="shared" si="2"/>
        <v>0.57451496099999999</v>
      </c>
    </row>
    <row r="62" spans="1:28" ht="21" hidden="1" x14ac:dyDescent="0.25">
      <c r="A62" s="3" t="s">
        <v>364</v>
      </c>
      <c r="B62" s="4">
        <v>19.512</v>
      </c>
      <c r="C62" s="5">
        <v>49916</v>
      </c>
      <c r="D62" s="6">
        <v>42794</v>
      </c>
      <c r="E62" s="7">
        <v>0.57202059999999999</v>
      </c>
      <c r="F62" s="7">
        <v>3.8344412800000001</v>
      </c>
      <c r="G62" s="7">
        <v>2.9040734929999998</v>
      </c>
      <c r="H62" s="7">
        <v>2.7585289999999998</v>
      </c>
      <c r="I62" s="7">
        <v>2.7776200000000002</v>
      </c>
      <c r="J62" s="8"/>
      <c r="K62" s="8"/>
      <c r="L62" s="7"/>
      <c r="M62" s="7"/>
      <c r="N62" s="7"/>
      <c r="O62" s="8"/>
      <c r="P62" s="8"/>
      <c r="Q62" s="8"/>
      <c r="R62" s="8"/>
      <c r="S62" s="7"/>
      <c r="T62" s="59"/>
      <c r="U62" s="7"/>
      <c r="V62" s="8"/>
      <c r="W62" s="7"/>
      <c r="X62" s="8"/>
      <c r="Y62" s="8"/>
      <c r="Z62" s="60">
        <f t="shared" si="0"/>
        <v>2.8627042980434825E-2</v>
      </c>
      <c r="AA62" s="53">
        <f t="shared" si="1"/>
        <v>2.8627042980434825E-2</v>
      </c>
      <c r="AB62">
        <f t="shared" si="2"/>
        <v>0.57202059999999999</v>
      </c>
    </row>
    <row r="63" spans="1:28" x14ac:dyDescent="0.25">
      <c r="A63" s="3" t="s">
        <v>535</v>
      </c>
      <c r="B63" s="4">
        <v>19.521000000000001</v>
      </c>
      <c r="C63" s="5">
        <v>49919</v>
      </c>
      <c r="D63" s="6">
        <v>42794</v>
      </c>
      <c r="E63" s="7">
        <v>0.57197957499999996</v>
      </c>
      <c r="F63" s="7">
        <v>3.8334691159999998</v>
      </c>
      <c r="G63" s="7">
        <v>2.9032112309999998</v>
      </c>
      <c r="H63" s="7">
        <v>2.7579579999999999</v>
      </c>
      <c r="I63" s="7">
        <v>2.777047</v>
      </c>
      <c r="J63" s="8" t="s">
        <v>187</v>
      </c>
      <c r="K63" s="8"/>
      <c r="L63" s="7">
        <v>0</v>
      </c>
      <c r="M63" s="7">
        <v>92.07</v>
      </c>
      <c r="N63" s="7">
        <v>92.07</v>
      </c>
      <c r="O63" s="8" t="s">
        <v>502</v>
      </c>
      <c r="P63" s="8" t="s">
        <v>503</v>
      </c>
      <c r="Q63" s="8" t="s">
        <v>496</v>
      </c>
      <c r="R63" s="8" t="s">
        <v>504</v>
      </c>
      <c r="S63" s="7">
        <v>2.25</v>
      </c>
      <c r="T63" s="59">
        <v>1</v>
      </c>
      <c r="U63" s="7">
        <v>0</v>
      </c>
      <c r="V63" s="8" t="s">
        <v>497</v>
      </c>
      <c r="W63" s="7">
        <v>100</v>
      </c>
      <c r="X63" s="8"/>
      <c r="Y63" s="8"/>
      <c r="Z63" s="60">
        <f t="shared" si="0"/>
        <v>2.8618663669175197E-2</v>
      </c>
      <c r="AA63" s="53">
        <f t="shared" si="1"/>
        <v>2.8618663669175197E-2</v>
      </c>
      <c r="AB63">
        <f t="shared" si="2"/>
        <v>0.57197957499999996</v>
      </c>
    </row>
    <row r="64" spans="1:28" ht="21" hidden="1" x14ac:dyDescent="0.25">
      <c r="A64" s="3" t="s">
        <v>536</v>
      </c>
      <c r="B64" s="4">
        <v>20.010999999999999</v>
      </c>
      <c r="C64" s="5">
        <v>50098</v>
      </c>
      <c r="D64" s="6">
        <v>42794</v>
      </c>
      <c r="E64" s="7">
        <v>0.55109381499999999</v>
      </c>
      <c r="F64" s="7">
        <v>4.0706349089999998</v>
      </c>
      <c r="G64" s="7">
        <v>3.0223939249999998</v>
      </c>
      <c r="H64" s="7">
        <v>2.8430569999999999</v>
      </c>
      <c r="I64" s="7">
        <v>2.8633440000000001</v>
      </c>
      <c r="J64" s="8"/>
      <c r="K64" s="8"/>
      <c r="L64" s="7"/>
      <c r="M64" s="7"/>
      <c r="N64" s="7"/>
      <c r="O64" s="8"/>
      <c r="P64" s="8"/>
      <c r="Q64" s="8"/>
      <c r="R64" s="8"/>
      <c r="S64" s="7"/>
      <c r="T64" s="59"/>
      <c r="U64" s="7"/>
      <c r="V64" s="8"/>
      <c r="W64" s="7"/>
      <c r="X64" s="8"/>
      <c r="Y64" s="8"/>
      <c r="Z64" s="60">
        <f t="shared" si="0"/>
        <v>2.9776195334751617E-2</v>
      </c>
      <c r="AA64" s="53">
        <f t="shared" si="1"/>
        <v>2.9776195334751617E-2</v>
      </c>
      <c r="AB64">
        <f t="shared" si="2"/>
        <v>0.55109381499999999</v>
      </c>
    </row>
    <row r="65" spans="1:28" ht="21" hidden="1" x14ac:dyDescent="0.25">
      <c r="A65" s="3" t="s">
        <v>365</v>
      </c>
      <c r="B65" s="4">
        <v>20.518000000000001</v>
      </c>
      <c r="C65" s="5">
        <v>50283</v>
      </c>
      <c r="D65" s="6">
        <v>42794</v>
      </c>
      <c r="E65" s="7">
        <v>0.53030905699999997</v>
      </c>
      <c r="F65" s="7">
        <v>4.3167030530000003</v>
      </c>
      <c r="G65" s="7">
        <v>3.1397191630000001</v>
      </c>
      <c r="H65" s="7">
        <v>2.9249019999999999</v>
      </c>
      <c r="I65" s="7">
        <v>2.9463720000000002</v>
      </c>
      <c r="J65" s="8"/>
      <c r="K65" s="8"/>
      <c r="L65" s="7"/>
      <c r="M65" s="7"/>
      <c r="N65" s="7"/>
      <c r="O65" s="8"/>
      <c r="P65" s="8"/>
      <c r="Q65" s="8"/>
      <c r="R65" s="8"/>
      <c r="S65" s="7"/>
      <c r="T65" s="59"/>
      <c r="U65" s="7"/>
      <c r="V65" s="8"/>
      <c r="W65" s="7"/>
      <c r="X65" s="8"/>
      <c r="Y65" s="8"/>
      <c r="Z65" s="60">
        <f t="shared" si="0"/>
        <v>3.0914379801061737E-2</v>
      </c>
      <c r="AA65" s="53">
        <f t="shared" si="1"/>
        <v>3.0914379801061737E-2</v>
      </c>
      <c r="AB65">
        <f t="shared" si="2"/>
        <v>0.53030905699999997</v>
      </c>
    </row>
    <row r="66" spans="1:28" hidden="1" x14ac:dyDescent="0.25">
      <c r="A66" s="3" t="s">
        <v>65</v>
      </c>
      <c r="B66" s="4">
        <v>21.007999999999999</v>
      </c>
      <c r="C66" s="5">
        <v>50462</v>
      </c>
      <c r="D66" s="6">
        <v>42794</v>
      </c>
      <c r="E66" s="7">
        <v>0.51094489099999996</v>
      </c>
      <c r="F66" s="7">
        <v>4.5561131379999997</v>
      </c>
      <c r="G66" s="7">
        <v>3.2479687730000002</v>
      </c>
      <c r="H66" s="7">
        <v>2.9986969999999999</v>
      </c>
      <c r="I66" s="7">
        <v>3.0212699999999999</v>
      </c>
      <c r="J66" s="8"/>
      <c r="K66" s="8"/>
      <c r="L66" s="7"/>
      <c r="M66" s="7"/>
      <c r="N66" s="7"/>
      <c r="O66" s="8"/>
      <c r="P66" s="8"/>
      <c r="Q66" s="8"/>
      <c r="R66" s="8"/>
      <c r="S66" s="7"/>
      <c r="T66" s="59"/>
      <c r="U66" s="7"/>
      <c r="V66" s="8"/>
      <c r="W66" s="7"/>
      <c r="X66" s="8"/>
      <c r="Y66" s="8"/>
      <c r="Z66" s="60">
        <f t="shared" si="0"/>
        <v>3.196337273060762E-2</v>
      </c>
      <c r="AA66" s="53">
        <f t="shared" si="1"/>
        <v>3.196337273060762E-2</v>
      </c>
      <c r="AB66">
        <f t="shared" si="2"/>
        <v>0.51094489099999996</v>
      </c>
    </row>
    <row r="67" spans="1:28" ht="21" hidden="1" x14ac:dyDescent="0.25">
      <c r="A67" s="3" t="s">
        <v>367</v>
      </c>
      <c r="B67" s="4">
        <v>21.518000000000001</v>
      </c>
      <c r="C67" s="5">
        <v>50648</v>
      </c>
      <c r="D67" s="6">
        <v>42794</v>
      </c>
      <c r="E67" s="7">
        <v>0.49157220400000001</v>
      </c>
      <c r="F67" s="7">
        <v>4.8066658950000001</v>
      </c>
      <c r="G67" s="7">
        <v>3.3553362299999998</v>
      </c>
      <c r="H67" s="7">
        <v>3.0703239999999998</v>
      </c>
      <c r="I67" s="7">
        <v>3.0939869999999998</v>
      </c>
      <c r="J67" s="8"/>
      <c r="K67" s="8"/>
      <c r="L67" s="7"/>
      <c r="M67" s="7"/>
      <c r="N67" s="7"/>
      <c r="O67" s="8"/>
      <c r="P67" s="8"/>
      <c r="Q67" s="8"/>
      <c r="R67" s="8"/>
      <c r="S67" s="7"/>
      <c r="T67" s="59"/>
      <c r="U67" s="7"/>
      <c r="V67" s="8"/>
      <c r="W67" s="7"/>
      <c r="X67" s="8"/>
      <c r="Y67" s="8"/>
      <c r="Z67" s="60">
        <f t="shared" ref="Z67:Z128" si="3">-LN(E67)/(YEARFRAC(D67,C67,3))</f>
        <v>3.3002731391567515E-2</v>
      </c>
      <c r="AA67" s="53">
        <f t="shared" ref="AA67:AA128" si="4">+Z67+$AE$1</f>
        <v>3.3002731391567515E-2</v>
      </c>
      <c r="AB67">
        <f t="shared" ref="AB67:AB128" si="5">EXP(-AA67*YEARFRAC(D67,C67,3))</f>
        <v>0.49157220400000001</v>
      </c>
    </row>
    <row r="68" spans="1:28" ht="21" hidden="1" x14ac:dyDescent="0.25">
      <c r="A68" s="3" t="s">
        <v>66</v>
      </c>
      <c r="B68" s="4">
        <v>22.013999999999999</v>
      </c>
      <c r="C68" s="5">
        <v>50829</v>
      </c>
      <c r="D68" s="6">
        <v>42794</v>
      </c>
      <c r="E68" s="7">
        <v>0.47342570099999998</v>
      </c>
      <c r="F68" s="7">
        <v>5.0525987580000002</v>
      </c>
      <c r="G68" s="7">
        <v>3.4551452540000001</v>
      </c>
      <c r="H68" s="7">
        <v>3.135456</v>
      </c>
      <c r="I68" s="7">
        <v>3.1601349999999999</v>
      </c>
      <c r="J68" s="8"/>
      <c r="K68" s="8"/>
      <c r="L68" s="7"/>
      <c r="M68" s="7"/>
      <c r="N68" s="7"/>
      <c r="O68" s="8"/>
      <c r="P68" s="8"/>
      <c r="Q68" s="8"/>
      <c r="R68" s="8"/>
      <c r="S68" s="7"/>
      <c r="T68" s="59"/>
      <c r="U68" s="7"/>
      <c r="V68" s="8"/>
      <c r="W68" s="7"/>
      <c r="X68" s="8"/>
      <c r="Y68" s="8"/>
      <c r="Z68" s="60">
        <f t="shared" si="3"/>
        <v>3.3967953577388056E-2</v>
      </c>
      <c r="AA68" s="53">
        <f t="shared" si="4"/>
        <v>3.3967953577388056E-2</v>
      </c>
      <c r="AB68">
        <f t="shared" si="5"/>
        <v>0.47342570099999998</v>
      </c>
    </row>
    <row r="69" spans="1:28" ht="21" hidden="1" x14ac:dyDescent="0.25">
      <c r="A69" s="3" t="s">
        <v>369</v>
      </c>
      <c r="B69" s="4">
        <v>22.518000000000001</v>
      </c>
      <c r="C69" s="5">
        <v>51013</v>
      </c>
      <c r="D69" s="6">
        <v>42794</v>
      </c>
      <c r="E69" s="7">
        <v>0.455664915</v>
      </c>
      <c r="F69" s="7">
        <v>5.3051127879999997</v>
      </c>
      <c r="G69" s="7">
        <v>3.552194949</v>
      </c>
      <c r="H69" s="7">
        <v>3.1974779999999998</v>
      </c>
      <c r="I69" s="7">
        <v>3.2231380000000001</v>
      </c>
      <c r="J69" s="8"/>
      <c r="K69" s="8"/>
      <c r="L69" s="7"/>
      <c r="M69" s="7"/>
      <c r="N69" s="7"/>
      <c r="O69" s="8"/>
      <c r="P69" s="8"/>
      <c r="Q69" s="8"/>
      <c r="R69" s="8"/>
      <c r="S69" s="7"/>
      <c r="T69" s="59"/>
      <c r="U69" s="7"/>
      <c r="V69" s="8"/>
      <c r="W69" s="7"/>
      <c r="X69" s="8"/>
      <c r="Y69" s="8"/>
      <c r="Z69" s="60">
        <f t="shared" si="3"/>
        <v>3.4905598603002977E-2</v>
      </c>
      <c r="AA69" s="53">
        <f t="shared" si="4"/>
        <v>3.4905598603002977E-2</v>
      </c>
      <c r="AB69">
        <f t="shared" si="5"/>
        <v>0.45566491499999995</v>
      </c>
    </row>
    <row r="70" spans="1:28" ht="21" hidden="1" x14ac:dyDescent="0.25">
      <c r="A70" s="3" t="s">
        <v>67</v>
      </c>
      <c r="B70" s="4">
        <v>23.015999999999998</v>
      </c>
      <c r="C70" s="5">
        <v>51195</v>
      </c>
      <c r="D70" s="6">
        <v>42794</v>
      </c>
      <c r="E70" s="7">
        <v>0.438752751</v>
      </c>
      <c r="F70" s="7">
        <v>5.557714754</v>
      </c>
      <c r="G70" s="7">
        <v>3.6440914250000001</v>
      </c>
      <c r="H70" s="7">
        <v>3.254991</v>
      </c>
      <c r="I70" s="7">
        <v>3.2815820000000002</v>
      </c>
      <c r="J70" s="8"/>
      <c r="K70" s="8"/>
      <c r="L70" s="7"/>
      <c r="M70" s="7"/>
      <c r="N70" s="7"/>
      <c r="O70" s="8"/>
      <c r="P70" s="8"/>
      <c r="Q70" s="8"/>
      <c r="R70" s="8"/>
      <c r="S70" s="7"/>
      <c r="T70" s="59"/>
      <c r="U70" s="7"/>
      <c r="V70" s="8"/>
      <c r="W70" s="7"/>
      <c r="X70" s="8"/>
      <c r="Y70" s="8"/>
      <c r="Z70" s="60">
        <f t="shared" si="3"/>
        <v>3.5792646168281234E-2</v>
      </c>
      <c r="AA70" s="53">
        <f t="shared" si="4"/>
        <v>3.5792646168281234E-2</v>
      </c>
      <c r="AB70">
        <f t="shared" si="5"/>
        <v>0.43875275100000005</v>
      </c>
    </row>
    <row r="71" spans="1:28" ht="21" hidden="1" x14ac:dyDescent="0.25">
      <c r="A71" s="3" t="s">
        <v>371</v>
      </c>
      <c r="B71" s="4">
        <v>23.521000000000001</v>
      </c>
      <c r="C71" s="5">
        <v>51379</v>
      </c>
      <c r="D71" s="6">
        <v>42794</v>
      </c>
      <c r="E71" s="7">
        <v>0.422292736</v>
      </c>
      <c r="F71" s="7">
        <v>5.816299764</v>
      </c>
      <c r="G71" s="7">
        <v>3.73311459</v>
      </c>
      <c r="H71" s="7">
        <v>3.3095910000000002</v>
      </c>
      <c r="I71" s="7">
        <v>3.3370769999999998</v>
      </c>
      <c r="J71" s="8"/>
      <c r="K71" s="8"/>
      <c r="L71" s="7"/>
      <c r="M71" s="7"/>
      <c r="N71" s="7"/>
      <c r="O71" s="8"/>
      <c r="P71" s="8"/>
      <c r="Q71" s="8"/>
      <c r="R71" s="8"/>
      <c r="S71" s="7"/>
      <c r="T71" s="59"/>
      <c r="U71" s="7"/>
      <c r="V71" s="8"/>
      <c r="W71" s="7"/>
      <c r="X71" s="8"/>
      <c r="Y71" s="8"/>
      <c r="Z71" s="60">
        <f t="shared" si="3"/>
        <v>3.6651208987153593E-2</v>
      </c>
      <c r="AA71" s="53">
        <f t="shared" si="4"/>
        <v>3.6651208987153593E-2</v>
      </c>
      <c r="AB71">
        <f t="shared" si="5"/>
        <v>0.422292736</v>
      </c>
    </row>
    <row r="72" spans="1:28" x14ac:dyDescent="0.25">
      <c r="A72" s="3" t="s">
        <v>537</v>
      </c>
      <c r="B72" s="4">
        <v>23.523</v>
      </c>
      <c r="C72" s="5">
        <v>51380</v>
      </c>
      <c r="D72" s="6">
        <v>42794</v>
      </c>
      <c r="E72" s="7">
        <v>0.422204988</v>
      </c>
      <c r="F72" s="7">
        <v>5.8177145450000003</v>
      </c>
      <c r="G72" s="7">
        <v>3.7335881909999999</v>
      </c>
      <c r="H72" s="7">
        <v>3.3099690000000002</v>
      </c>
      <c r="I72" s="7">
        <v>3.3369439999999999</v>
      </c>
      <c r="J72" s="8" t="s">
        <v>187</v>
      </c>
      <c r="K72" s="8"/>
      <c r="L72" s="7">
        <v>0</v>
      </c>
      <c r="M72" s="7">
        <v>129.38</v>
      </c>
      <c r="N72" s="7">
        <v>129.38</v>
      </c>
      <c r="O72" s="8" t="s">
        <v>502</v>
      </c>
      <c r="P72" s="8" t="s">
        <v>503</v>
      </c>
      <c r="Q72" s="8" t="s">
        <v>496</v>
      </c>
      <c r="R72" s="8" t="s">
        <v>504</v>
      </c>
      <c r="S72" s="7">
        <v>5</v>
      </c>
      <c r="T72" s="59">
        <v>1</v>
      </c>
      <c r="U72" s="7">
        <v>0</v>
      </c>
      <c r="V72" s="8" t="s">
        <v>497</v>
      </c>
      <c r="W72" s="7">
        <v>100</v>
      </c>
      <c r="X72" s="8"/>
      <c r="Y72" s="8"/>
      <c r="Z72" s="60">
        <f t="shared" si="3"/>
        <v>3.6655774540655314E-2</v>
      </c>
      <c r="AA72" s="53">
        <f t="shared" si="4"/>
        <v>3.6655774540655314E-2</v>
      </c>
      <c r="AB72">
        <f t="shared" si="5"/>
        <v>0.422204988</v>
      </c>
    </row>
    <row r="73" spans="1:28" ht="21" hidden="1" x14ac:dyDescent="0.25">
      <c r="A73" s="3" t="s">
        <v>68</v>
      </c>
      <c r="B73" s="4">
        <v>24.015999999999998</v>
      </c>
      <c r="C73" s="5">
        <v>51560</v>
      </c>
      <c r="D73" s="6">
        <v>42794</v>
      </c>
      <c r="E73" s="7">
        <v>0.41390493</v>
      </c>
      <c r="F73" s="7">
        <v>5.8960188960000002</v>
      </c>
      <c r="G73" s="7">
        <v>3.7412673679999999</v>
      </c>
      <c r="H73" s="7">
        <v>3.3186309999999999</v>
      </c>
      <c r="I73" s="7">
        <v>3.3462689999999999</v>
      </c>
      <c r="J73" s="8"/>
      <c r="K73" s="8"/>
      <c r="L73" s="7"/>
      <c r="M73" s="7"/>
      <c r="N73" s="7"/>
      <c r="O73" s="8"/>
      <c r="P73" s="8"/>
      <c r="Q73" s="8"/>
      <c r="R73" s="8"/>
      <c r="S73" s="7"/>
      <c r="T73" s="59"/>
      <c r="U73" s="7"/>
      <c r="V73" s="8"/>
      <c r="W73" s="7"/>
      <c r="X73" s="8"/>
      <c r="Y73" s="8"/>
      <c r="Z73" s="60">
        <f t="shared" si="3"/>
        <v>3.6729799653341819E-2</v>
      </c>
      <c r="AA73" s="53">
        <f t="shared" si="4"/>
        <v>3.6729799653341819E-2</v>
      </c>
      <c r="AB73">
        <f t="shared" si="5"/>
        <v>0.41390493</v>
      </c>
    </row>
    <row r="74" spans="1:28" ht="21" hidden="1" x14ac:dyDescent="0.25">
      <c r="A74" s="3" t="s">
        <v>373</v>
      </c>
      <c r="B74" s="4">
        <v>24.518000000000001</v>
      </c>
      <c r="C74" s="5">
        <v>51743</v>
      </c>
      <c r="D74" s="6">
        <v>42794</v>
      </c>
      <c r="E74" s="7">
        <v>0.40571512599999998</v>
      </c>
      <c r="F74" s="7">
        <v>5.9743661230000003</v>
      </c>
      <c r="G74" s="7">
        <v>3.7479099960000002</v>
      </c>
      <c r="H74" s="7">
        <v>3.326673</v>
      </c>
      <c r="I74" s="7">
        <v>3.3544429999999998</v>
      </c>
      <c r="J74" s="8"/>
      <c r="K74" s="8"/>
      <c r="L74" s="7"/>
      <c r="M74" s="7"/>
      <c r="N74" s="7"/>
      <c r="O74" s="8"/>
      <c r="P74" s="8"/>
      <c r="Q74" s="8"/>
      <c r="R74" s="8"/>
      <c r="S74" s="7"/>
      <c r="T74" s="59"/>
      <c r="U74" s="7"/>
      <c r="V74" s="8"/>
      <c r="W74" s="7"/>
      <c r="X74" s="8"/>
      <c r="Y74" s="8"/>
      <c r="Z74" s="60">
        <f t="shared" si="3"/>
        <v>3.6793828293833694E-2</v>
      </c>
      <c r="AA74" s="53">
        <f t="shared" si="4"/>
        <v>3.6793828293833694E-2</v>
      </c>
      <c r="AB74">
        <f t="shared" si="5"/>
        <v>0.40571512599999998</v>
      </c>
    </row>
    <row r="75" spans="1:28" ht="21" hidden="1" x14ac:dyDescent="0.25">
      <c r="A75" s="3" t="s">
        <v>538</v>
      </c>
      <c r="B75" s="4">
        <v>25.015999999999998</v>
      </c>
      <c r="C75" s="5">
        <v>51925</v>
      </c>
      <c r="D75" s="6">
        <v>42794</v>
      </c>
      <c r="E75" s="7">
        <v>0.39773080399999999</v>
      </c>
      <c r="F75" s="7">
        <v>6.0530734730000004</v>
      </c>
      <c r="G75" s="7">
        <v>3.7542526440000001</v>
      </c>
      <c r="H75" s="7">
        <v>3.3343470000000002</v>
      </c>
      <c r="I75" s="7">
        <v>3.3622489999999998</v>
      </c>
      <c r="J75" s="8"/>
      <c r="K75" s="8"/>
      <c r="L75" s="7"/>
      <c r="M75" s="7"/>
      <c r="N75" s="7"/>
      <c r="O75" s="8"/>
      <c r="P75" s="8"/>
      <c r="Q75" s="8"/>
      <c r="R75" s="8"/>
      <c r="S75" s="7"/>
      <c r="T75" s="59"/>
      <c r="U75" s="7"/>
      <c r="V75" s="8"/>
      <c r="W75" s="7"/>
      <c r="X75" s="8"/>
      <c r="Y75" s="8"/>
      <c r="Z75" s="60">
        <f t="shared" si="3"/>
        <v>3.6854961576592619E-2</v>
      </c>
      <c r="AA75" s="53">
        <f t="shared" si="4"/>
        <v>3.6854961576592619E-2</v>
      </c>
      <c r="AB75">
        <f t="shared" si="5"/>
        <v>0.39773080399999999</v>
      </c>
    </row>
    <row r="76" spans="1:28" ht="21" hidden="1" x14ac:dyDescent="0.25">
      <c r="A76" s="3" t="s">
        <v>374</v>
      </c>
      <c r="B76" s="4">
        <v>25.515000000000001</v>
      </c>
      <c r="C76" s="5">
        <v>52107</v>
      </c>
      <c r="D76" s="6">
        <v>42794</v>
      </c>
      <c r="E76" s="7">
        <v>0.38990361000000001</v>
      </c>
      <c r="F76" s="7">
        <v>6.1325974929999996</v>
      </c>
      <c r="G76" s="7">
        <v>3.7603477540000001</v>
      </c>
      <c r="H76" s="7">
        <v>3.341707</v>
      </c>
      <c r="I76" s="7">
        <v>3.3697309999999998</v>
      </c>
      <c r="J76" s="8"/>
      <c r="K76" s="8"/>
      <c r="L76" s="7"/>
      <c r="M76" s="7"/>
      <c r="N76" s="7"/>
      <c r="O76" s="8"/>
      <c r="P76" s="8"/>
      <c r="Q76" s="8"/>
      <c r="R76" s="8"/>
      <c r="S76" s="7"/>
      <c r="T76" s="59"/>
      <c r="U76" s="7"/>
      <c r="V76" s="8"/>
      <c r="W76" s="7"/>
      <c r="X76" s="8"/>
      <c r="Y76" s="8"/>
      <c r="Z76" s="60">
        <f t="shared" si="3"/>
        <v>3.6913705503278486E-2</v>
      </c>
      <c r="AA76" s="53">
        <f t="shared" si="4"/>
        <v>3.6913705503278486E-2</v>
      </c>
      <c r="AB76">
        <f t="shared" si="5"/>
        <v>0.38990361000000001</v>
      </c>
    </row>
    <row r="77" spans="1:28" ht="21" hidden="1" x14ac:dyDescent="0.25">
      <c r="A77" s="3" t="s">
        <v>70</v>
      </c>
      <c r="B77" s="4">
        <v>26.013999999999999</v>
      </c>
      <c r="C77" s="5">
        <v>52289</v>
      </c>
      <c r="D77" s="6">
        <v>42794</v>
      </c>
      <c r="E77" s="7">
        <v>0.382230452</v>
      </c>
      <c r="F77" s="7">
        <v>6.2129678720000001</v>
      </c>
      <c r="G77" s="7">
        <v>3.7662095390000001</v>
      </c>
      <c r="H77" s="7">
        <v>3.3487689999999999</v>
      </c>
      <c r="I77" s="7">
        <v>3.376919</v>
      </c>
      <c r="J77" s="8"/>
      <c r="K77" s="8"/>
      <c r="L77" s="7"/>
      <c r="M77" s="7"/>
      <c r="N77" s="7"/>
      <c r="O77" s="8"/>
      <c r="P77" s="8"/>
      <c r="Q77" s="8"/>
      <c r="R77" s="8"/>
      <c r="S77" s="7"/>
      <c r="T77" s="59"/>
      <c r="U77" s="7"/>
      <c r="V77" s="8"/>
      <c r="W77" s="7"/>
      <c r="X77" s="8"/>
      <c r="Y77" s="8"/>
      <c r="Z77" s="60">
        <f t="shared" si="3"/>
        <v>3.6970197451014923E-2</v>
      </c>
      <c r="AA77" s="53">
        <f t="shared" si="4"/>
        <v>3.6970197451014923E-2</v>
      </c>
      <c r="AB77">
        <f t="shared" si="5"/>
        <v>0.38223045199999994</v>
      </c>
    </row>
    <row r="78" spans="1:28" ht="21" hidden="1" x14ac:dyDescent="0.25">
      <c r="A78" s="3" t="s">
        <v>376</v>
      </c>
      <c r="B78" s="4">
        <v>26.521000000000001</v>
      </c>
      <c r="C78" s="5">
        <v>52474</v>
      </c>
      <c r="D78" s="6">
        <v>42794</v>
      </c>
      <c r="E78" s="7">
        <v>0.37458555599999999</v>
      </c>
      <c r="F78" s="7">
        <v>6.2955602859999997</v>
      </c>
      <c r="G78" s="7">
        <v>3.7719423650000001</v>
      </c>
      <c r="H78" s="7">
        <v>3.3556650000000001</v>
      </c>
      <c r="I78" s="7">
        <v>3.3839290000000002</v>
      </c>
      <c r="J78" s="8"/>
      <c r="K78" s="8"/>
      <c r="L78" s="7"/>
      <c r="M78" s="7"/>
      <c r="N78" s="7"/>
      <c r="O78" s="8"/>
      <c r="P78" s="8"/>
      <c r="Q78" s="8"/>
      <c r="R78" s="8"/>
      <c r="S78" s="7"/>
      <c r="T78" s="59"/>
      <c r="U78" s="7"/>
      <c r="V78" s="8"/>
      <c r="W78" s="7"/>
      <c r="X78" s="8"/>
      <c r="Y78" s="8"/>
      <c r="Z78" s="60">
        <f t="shared" si="3"/>
        <v>3.7025443448856971E-2</v>
      </c>
      <c r="AA78" s="53">
        <f t="shared" si="4"/>
        <v>3.7025443448856971E-2</v>
      </c>
      <c r="AB78">
        <f t="shared" si="5"/>
        <v>0.37458555599999999</v>
      </c>
    </row>
    <row r="79" spans="1:28" ht="21" hidden="1" x14ac:dyDescent="0.25">
      <c r="A79" s="3" t="s">
        <v>71</v>
      </c>
      <c r="B79" s="4">
        <v>27.018999999999998</v>
      </c>
      <c r="C79" s="5">
        <v>52656</v>
      </c>
      <c r="D79" s="6">
        <v>42794</v>
      </c>
      <c r="E79" s="7">
        <v>0.36721385200000001</v>
      </c>
      <c r="F79" s="7">
        <v>6.377724787</v>
      </c>
      <c r="G79" s="7">
        <v>3.7773726390000002</v>
      </c>
      <c r="H79" s="7">
        <v>3.3622160000000001</v>
      </c>
      <c r="I79" s="7">
        <v>3.39059</v>
      </c>
      <c r="J79" s="8"/>
      <c r="K79" s="8"/>
      <c r="L79" s="7"/>
      <c r="M79" s="7"/>
      <c r="N79" s="7"/>
      <c r="O79" s="8"/>
      <c r="P79" s="8"/>
      <c r="Q79" s="8"/>
      <c r="R79" s="8"/>
      <c r="S79" s="7"/>
      <c r="T79" s="59"/>
      <c r="U79" s="7"/>
      <c r="V79" s="8"/>
      <c r="W79" s="7"/>
      <c r="X79" s="8"/>
      <c r="Y79" s="8"/>
      <c r="Z79" s="60">
        <f t="shared" si="3"/>
        <v>3.7077771003554319E-2</v>
      </c>
      <c r="AA79" s="53">
        <f t="shared" si="4"/>
        <v>3.7077771003554319E-2</v>
      </c>
      <c r="AB79">
        <f t="shared" si="5"/>
        <v>0.36721385200000006</v>
      </c>
    </row>
    <row r="80" spans="1:28" ht="21" hidden="1" x14ac:dyDescent="0.25">
      <c r="A80" s="3" t="s">
        <v>378</v>
      </c>
      <c r="B80" s="4">
        <v>27.523</v>
      </c>
      <c r="C80" s="5">
        <v>52840</v>
      </c>
      <c r="D80" s="6">
        <v>42794</v>
      </c>
      <c r="E80" s="7">
        <v>0.35990860200000002</v>
      </c>
      <c r="F80" s="7">
        <v>6.4617396319999996</v>
      </c>
      <c r="G80" s="7">
        <v>3.7826628480000002</v>
      </c>
      <c r="H80" s="7">
        <v>3.3685580000000002</v>
      </c>
      <c r="I80" s="7">
        <v>3.3970359999999999</v>
      </c>
      <c r="J80" s="8"/>
      <c r="K80" s="8"/>
      <c r="L80" s="7"/>
      <c r="M80" s="7"/>
      <c r="N80" s="7"/>
      <c r="O80" s="8"/>
      <c r="P80" s="8"/>
      <c r="Q80" s="8"/>
      <c r="R80" s="8"/>
      <c r="S80" s="7"/>
      <c r="T80" s="59"/>
      <c r="U80" s="7"/>
      <c r="V80" s="8"/>
      <c r="W80" s="7"/>
      <c r="X80" s="8"/>
      <c r="Y80" s="8"/>
      <c r="Z80" s="60">
        <f t="shared" si="3"/>
        <v>3.7128746220504438E-2</v>
      </c>
      <c r="AA80" s="53">
        <f t="shared" si="4"/>
        <v>3.7128746220504438E-2</v>
      </c>
      <c r="AB80">
        <f t="shared" si="5"/>
        <v>0.35990860200000002</v>
      </c>
    </row>
    <row r="81" spans="1:28" x14ac:dyDescent="0.25">
      <c r="A81" s="3" t="s">
        <v>539</v>
      </c>
      <c r="B81" s="4">
        <v>27.526</v>
      </c>
      <c r="C81" s="5">
        <v>52841</v>
      </c>
      <c r="D81" s="6">
        <v>42794</v>
      </c>
      <c r="E81" s="7">
        <v>0.35986929899999998</v>
      </c>
      <c r="F81" s="7">
        <v>6.4621988889999997</v>
      </c>
      <c r="G81" s="7">
        <v>3.7826910709999999</v>
      </c>
      <c r="H81" s="7">
        <v>3.3685909999999999</v>
      </c>
      <c r="I81" s="7">
        <v>3.3970699999999998</v>
      </c>
      <c r="J81" s="8" t="s">
        <v>187</v>
      </c>
      <c r="K81" s="8"/>
      <c r="L81" s="7">
        <v>0</v>
      </c>
      <c r="M81" s="7">
        <v>126.145</v>
      </c>
      <c r="N81" s="7">
        <v>126.145</v>
      </c>
      <c r="O81" s="8" t="s">
        <v>502</v>
      </c>
      <c r="P81" s="8" t="s">
        <v>503</v>
      </c>
      <c r="Q81" s="8" t="s">
        <v>496</v>
      </c>
      <c r="R81" s="8" t="s">
        <v>504</v>
      </c>
      <c r="S81" s="7">
        <v>4.75</v>
      </c>
      <c r="T81" s="59">
        <v>1</v>
      </c>
      <c r="U81" s="7">
        <v>0</v>
      </c>
      <c r="V81" s="8" t="s">
        <v>497</v>
      </c>
      <c r="W81" s="7">
        <v>100</v>
      </c>
      <c r="X81" s="8"/>
      <c r="Y81" s="8"/>
      <c r="Z81" s="60">
        <f t="shared" si="3"/>
        <v>3.7129018184755239E-2</v>
      </c>
      <c r="AA81" s="53">
        <f t="shared" si="4"/>
        <v>3.7129018184755239E-2</v>
      </c>
      <c r="AB81">
        <f t="shared" si="5"/>
        <v>0.35986929899999992</v>
      </c>
    </row>
    <row r="82" spans="1:28" ht="21" hidden="1" x14ac:dyDescent="0.25">
      <c r="A82" s="3" t="s">
        <v>72</v>
      </c>
      <c r="B82" s="4">
        <v>28.018999999999998</v>
      </c>
      <c r="C82" s="5">
        <v>53021</v>
      </c>
      <c r="D82" s="6">
        <v>42794</v>
      </c>
      <c r="E82" s="7">
        <v>0.360933226</v>
      </c>
      <c r="F82" s="7">
        <v>6.3192273910000001</v>
      </c>
      <c r="G82" s="7">
        <v>3.703965776</v>
      </c>
      <c r="H82" s="7">
        <v>3.3317839999999999</v>
      </c>
      <c r="I82" s="7">
        <v>3.3596439999999999</v>
      </c>
      <c r="J82" s="8"/>
      <c r="K82" s="8"/>
      <c r="L82" s="7"/>
      <c r="M82" s="7"/>
      <c r="N82" s="7"/>
      <c r="O82" s="8"/>
      <c r="P82" s="8"/>
      <c r="Q82" s="8"/>
      <c r="R82" s="8"/>
      <c r="S82" s="7"/>
      <c r="T82" s="59"/>
      <c r="U82" s="7"/>
      <c r="V82" s="8"/>
      <c r="W82" s="7"/>
      <c r="X82" s="8"/>
      <c r="Y82" s="8"/>
      <c r="Z82" s="60">
        <f t="shared" si="3"/>
        <v>3.6370171326867116E-2</v>
      </c>
      <c r="AA82" s="53">
        <f t="shared" si="4"/>
        <v>3.6370171326867116E-2</v>
      </c>
      <c r="AB82">
        <f t="shared" si="5"/>
        <v>0.36093322600000005</v>
      </c>
    </row>
    <row r="83" spans="1:28" ht="21" hidden="1" x14ac:dyDescent="0.25">
      <c r="A83" s="3" t="s">
        <v>380</v>
      </c>
      <c r="B83" s="4">
        <v>28.523</v>
      </c>
      <c r="C83" s="5">
        <v>53205</v>
      </c>
      <c r="D83" s="6">
        <v>42794</v>
      </c>
      <c r="E83" s="7">
        <v>0.36202404700000002</v>
      </c>
      <c r="F83" s="7">
        <v>6.1782760359999997</v>
      </c>
      <c r="G83" s="7">
        <v>3.6263631840000001</v>
      </c>
      <c r="H83" s="7">
        <v>3.2947489999999999</v>
      </c>
      <c r="I83" s="7">
        <v>3.3219889999999999</v>
      </c>
      <c r="J83" s="8"/>
      <c r="K83" s="8"/>
      <c r="L83" s="7"/>
      <c r="M83" s="7"/>
      <c r="N83" s="7"/>
      <c r="O83" s="8"/>
      <c r="P83" s="8"/>
      <c r="Q83" s="8"/>
      <c r="R83" s="8"/>
      <c r="S83" s="7"/>
      <c r="T83" s="59"/>
      <c r="U83" s="7"/>
      <c r="V83" s="8"/>
      <c r="W83" s="7"/>
      <c r="X83" s="8"/>
      <c r="Y83" s="8"/>
      <c r="Z83" s="60">
        <f t="shared" si="3"/>
        <v>3.562158236795944E-2</v>
      </c>
      <c r="AA83" s="53">
        <f t="shared" si="4"/>
        <v>3.562158236795944E-2</v>
      </c>
      <c r="AB83">
        <f t="shared" si="5"/>
        <v>0.36202404700000002</v>
      </c>
    </row>
    <row r="84" spans="1:28" ht="21" hidden="1" x14ac:dyDescent="0.25">
      <c r="A84" s="3" t="s">
        <v>73</v>
      </c>
      <c r="B84" s="4">
        <v>29.018999999999998</v>
      </c>
      <c r="C84" s="5">
        <v>53386</v>
      </c>
      <c r="D84" s="6">
        <v>42794</v>
      </c>
      <c r="E84" s="7">
        <v>0.36310029900000002</v>
      </c>
      <c r="F84" s="7">
        <v>6.0444853609999996</v>
      </c>
      <c r="G84" s="7">
        <v>3.5527102049999999</v>
      </c>
      <c r="H84" s="7">
        <v>3.2588710000000001</v>
      </c>
      <c r="I84" s="7">
        <v>3.285523</v>
      </c>
      <c r="J84" s="8"/>
      <c r="K84" s="8"/>
      <c r="L84" s="7"/>
      <c r="M84" s="7"/>
      <c r="N84" s="7"/>
      <c r="O84" s="8"/>
      <c r="P84" s="8"/>
      <c r="Q84" s="8"/>
      <c r="R84" s="8"/>
      <c r="S84" s="7"/>
      <c r="T84" s="59"/>
      <c r="U84" s="7"/>
      <c r="V84" s="8"/>
      <c r="W84" s="7"/>
      <c r="X84" s="8"/>
      <c r="Y84" s="8"/>
      <c r="Z84" s="60">
        <f t="shared" si="3"/>
        <v>3.4910574456251425E-2</v>
      </c>
      <c r="AA84" s="53">
        <f t="shared" si="4"/>
        <v>3.4910574456251425E-2</v>
      </c>
      <c r="AB84">
        <f t="shared" si="5"/>
        <v>0.36310029900000002</v>
      </c>
    </row>
    <row r="85" spans="1:28" ht="21" hidden="1" x14ac:dyDescent="0.25">
      <c r="A85" s="3" t="s">
        <v>382</v>
      </c>
      <c r="B85" s="4">
        <v>29.523</v>
      </c>
      <c r="C85" s="5">
        <v>53570</v>
      </c>
      <c r="D85" s="6">
        <v>42794</v>
      </c>
      <c r="E85" s="7">
        <v>0.36419766999999997</v>
      </c>
      <c r="F85" s="7">
        <v>5.9131682259999998</v>
      </c>
      <c r="G85" s="7">
        <v>3.4804235050000001</v>
      </c>
      <c r="H85" s="7">
        <v>3.222988</v>
      </c>
      <c r="I85" s="7">
        <v>3.249053</v>
      </c>
      <c r="J85" s="8"/>
      <c r="K85" s="8"/>
      <c r="L85" s="7"/>
      <c r="M85" s="7"/>
      <c r="N85" s="7"/>
      <c r="O85" s="8"/>
      <c r="P85" s="8"/>
      <c r="Q85" s="8"/>
      <c r="R85" s="8"/>
      <c r="S85" s="7"/>
      <c r="T85" s="59"/>
      <c r="U85" s="7"/>
      <c r="V85" s="8"/>
      <c r="W85" s="7"/>
      <c r="X85" s="8"/>
      <c r="Y85" s="8"/>
      <c r="Z85" s="60">
        <f t="shared" si="3"/>
        <v>3.4212263909789008E-2</v>
      </c>
      <c r="AA85" s="53">
        <f t="shared" si="4"/>
        <v>3.4212263909789008E-2</v>
      </c>
      <c r="AB85">
        <f t="shared" si="5"/>
        <v>0.36419766999999997</v>
      </c>
    </row>
    <row r="86" spans="1:28" ht="21" x14ac:dyDescent="0.25">
      <c r="A86" s="3" t="s">
        <v>540</v>
      </c>
      <c r="B86" s="4">
        <v>29.526</v>
      </c>
      <c r="C86" s="5">
        <v>53571</v>
      </c>
      <c r="D86" s="6">
        <v>42794</v>
      </c>
      <c r="E86" s="7">
        <v>0.36420364300000002</v>
      </c>
      <c r="F86" s="7">
        <v>5.9124670290000001</v>
      </c>
      <c r="G86" s="7">
        <v>3.4800375219999999</v>
      </c>
      <c r="H86" s="7">
        <v>3.2226050000000002</v>
      </c>
      <c r="I86" s="7">
        <v>3.2483</v>
      </c>
      <c r="J86" s="8" t="s">
        <v>187</v>
      </c>
      <c r="K86" s="8"/>
      <c r="L86" s="7">
        <v>0</v>
      </c>
      <c r="M86" s="7">
        <v>100.465</v>
      </c>
      <c r="N86" s="7">
        <v>100.465</v>
      </c>
      <c r="O86" s="8" t="s">
        <v>502</v>
      </c>
      <c r="P86" s="8" t="s">
        <v>503</v>
      </c>
      <c r="Q86" s="8" t="s">
        <v>496</v>
      </c>
      <c r="R86" s="8" t="s">
        <v>504</v>
      </c>
      <c r="S86" s="7">
        <v>3.25</v>
      </c>
      <c r="T86" s="59">
        <v>1</v>
      </c>
      <c r="U86" s="7">
        <v>0</v>
      </c>
      <c r="V86" s="8" t="s">
        <v>497</v>
      </c>
      <c r="W86" s="7">
        <v>100</v>
      </c>
      <c r="X86" s="8"/>
      <c r="Y86" s="8"/>
      <c r="Z86" s="60">
        <f t="shared" si="3"/>
        <v>3.4208533894628655E-2</v>
      </c>
      <c r="AA86" s="53">
        <f t="shared" si="4"/>
        <v>3.4208533894628655E-2</v>
      </c>
      <c r="AB86">
        <f t="shared" si="5"/>
        <v>0.36420364300000008</v>
      </c>
    </row>
    <row r="87" spans="1:28" ht="21" hidden="1" x14ac:dyDescent="0.25">
      <c r="A87" s="3" t="s">
        <v>541</v>
      </c>
      <c r="B87" s="4">
        <v>30.018999999999998</v>
      </c>
      <c r="C87" s="5">
        <v>53751</v>
      </c>
      <c r="D87" s="6">
        <v>42794</v>
      </c>
      <c r="E87" s="7">
        <v>0.36177835000000003</v>
      </c>
      <c r="F87" s="7">
        <v>5.8766545419999998</v>
      </c>
      <c r="G87" s="7">
        <v>3.4449223039999999</v>
      </c>
      <c r="H87" s="7">
        <v>3.2060870000000001</v>
      </c>
      <c r="I87" s="7">
        <v>3.231881</v>
      </c>
      <c r="J87" s="8"/>
      <c r="K87" s="8"/>
      <c r="L87" s="7"/>
      <c r="M87" s="7"/>
      <c r="N87" s="7"/>
      <c r="O87" s="8"/>
      <c r="P87" s="8"/>
      <c r="Q87" s="8"/>
      <c r="R87" s="8"/>
      <c r="S87" s="7"/>
      <c r="T87" s="59"/>
      <c r="U87" s="7"/>
      <c r="V87" s="8"/>
      <c r="W87" s="7"/>
      <c r="X87" s="8"/>
      <c r="Y87" s="8"/>
      <c r="Z87" s="60">
        <f t="shared" si="3"/>
        <v>3.3869133415914326E-2</v>
      </c>
      <c r="AA87" s="53">
        <f t="shared" si="4"/>
        <v>3.3869133415914326E-2</v>
      </c>
      <c r="AB87">
        <f t="shared" si="5"/>
        <v>0.36177835000000003</v>
      </c>
    </row>
    <row r="88" spans="1:28" x14ac:dyDescent="0.25">
      <c r="A88" s="3" t="s">
        <v>542</v>
      </c>
      <c r="B88" s="4">
        <v>30.021999999999998</v>
      </c>
      <c r="C88" s="5">
        <v>53752</v>
      </c>
      <c r="D88" s="6">
        <v>42794</v>
      </c>
      <c r="E88" s="7">
        <v>0.36176470399999999</v>
      </c>
      <c r="F88" s="7">
        <v>5.8764655509999999</v>
      </c>
      <c r="G88" s="7">
        <v>3.444732546</v>
      </c>
      <c r="H88" s="7">
        <v>3.2059959999999998</v>
      </c>
      <c r="I88" s="7">
        <v>3.2317900000000002</v>
      </c>
      <c r="J88" s="8" t="s">
        <v>187</v>
      </c>
      <c r="K88" s="8"/>
      <c r="L88" s="7">
        <v>0</v>
      </c>
      <c r="M88" s="7">
        <v>89.87</v>
      </c>
      <c r="N88" s="7">
        <v>89.87</v>
      </c>
      <c r="O88" s="8" t="s">
        <v>502</v>
      </c>
      <c r="P88" s="8" t="s">
        <v>503</v>
      </c>
      <c r="Q88" s="8" t="s">
        <v>496</v>
      </c>
      <c r="R88" s="8" t="s">
        <v>504</v>
      </c>
      <c r="S88" s="7">
        <v>2.7</v>
      </c>
      <c r="T88" s="59">
        <v>1</v>
      </c>
      <c r="U88" s="7">
        <v>0</v>
      </c>
      <c r="V88" s="8" t="s">
        <v>497</v>
      </c>
      <c r="W88" s="7">
        <v>100</v>
      </c>
      <c r="X88" s="8"/>
      <c r="Y88" s="8"/>
      <c r="Z88" s="60">
        <f t="shared" si="3"/>
        <v>3.3867299015876998E-2</v>
      </c>
      <c r="AA88" s="53">
        <f t="shared" si="4"/>
        <v>3.3867299015876998E-2</v>
      </c>
      <c r="AB88">
        <f t="shared" si="5"/>
        <v>0.36176470400000005</v>
      </c>
    </row>
    <row r="89" spans="1:28" ht="21" hidden="1" x14ac:dyDescent="0.25">
      <c r="A89" s="3" t="s">
        <v>383</v>
      </c>
      <c r="B89" s="4">
        <v>30.521000000000001</v>
      </c>
      <c r="C89" s="5">
        <v>53934</v>
      </c>
      <c r="D89" s="6">
        <v>42794</v>
      </c>
      <c r="E89" s="7">
        <v>0.35928965099999999</v>
      </c>
      <c r="F89" s="7">
        <v>5.8428495590000002</v>
      </c>
      <c r="G89" s="7">
        <v>3.4107696249999999</v>
      </c>
      <c r="H89" s="7">
        <v>3.1897139999999999</v>
      </c>
      <c r="I89" s="7">
        <v>3.2152430000000001</v>
      </c>
      <c r="J89" s="8"/>
      <c r="K89" s="8"/>
      <c r="L89" s="7"/>
      <c r="M89" s="7"/>
      <c r="N89" s="7"/>
      <c r="O89" s="8"/>
      <c r="P89" s="8"/>
      <c r="Q89" s="8"/>
      <c r="R89" s="8"/>
      <c r="S89" s="7"/>
      <c r="T89" s="59"/>
      <c r="U89" s="7"/>
      <c r="V89" s="8"/>
      <c r="W89" s="7"/>
      <c r="X89" s="8"/>
      <c r="Y89" s="8"/>
      <c r="Z89" s="60">
        <f t="shared" si="3"/>
        <v>3.3538925655716742E-2</v>
      </c>
      <c r="AA89" s="53">
        <f t="shared" si="4"/>
        <v>3.3538925655716742E-2</v>
      </c>
      <c r="AB89">
        <f t="shared" si="5"/>
        <v>0.35928965099999999</v>
      </c>
    </row>
    <row r="90" spans="1:28" hidden="1" x14ac:dyDescent="0.25">
      <c r="A90" s="3" t="s">
        <v>75</v>
      </c>
      <c r="B90" s="4">
        <v>31.018999999999998</v>
      </c>
      <c r="C90" s="5">
        <v>54116</v>
      </c>
      <c r="D90" s="6">
        <v>42794</v>
      </c>
      <c r="E90" s="7">
        <v>0.35683153200000001</v>
      </c>
      <c r="F90" s="7">
        <v>5.8107371990000001</v>
      </c>
      <c r="G90" s="7">
        <v>3.3779092230000001</v>
      </c>
      <c r="H90" s="7">
        <v>3.173861</v>
      </c>
      <c r="I90" s="7">
        <v>3.1991399999999999</v>
      </c>
      <c r="J90" s="8"/>
      <c r="K90" s="8"/>
      <c r="L90" s="7"/>
      <c r="M90" s="7"/>
      <c r="N90" s="7"/>
      <c r="O90" s="8"/>
      <c r="P90" s="8"/>
      <c r="Q90" s="8"/>
      <c r="R90" s="8"/>
      <c r="S90" s="7"/>
      <c r="T90" s="59"/>
      <c r="U90" s="7"/>
      <c r="V90" s="8"/>
      <c r="W90" s="7"/>
      <c r="X90" s="8"/>
      <c r="Y90" s="8"/>
      <c r="Z90" s="60">
        <f t="shared" si="3"/>
        <v>3.3221109373404716E-2</v>
      </c>
      <c r="AA90" s="53">
        <f t="shared" si="4"/>
        <v>3.3221109373404716E-2</v>
      </c>
      <c r="AB90">
        <f t="shared" si="5"/>
        <v>0.35683153200000006</v>
      </c>
    </row>
    <row r="91" spans="1:28" ht="21" hidden="1" x14ac:dyDescent="0.25">
      <c r="A91" s="3" t="s">
        <v>384</v>
      </c>
      <c r="B91" s="4">
        <v>31.526</v>
      </c>
      <c r="C91" s="5">
        <v>54301</v>
      </c>
      <c r="D91" s="6">
        <v>42794</v>
      </c>
      <c r="E91" s="7">
        <v>0.35435012900000001</v>
      </c>
      <c r="F91" s="7">
        <v>5.7795659610000003</v>
      </c>
      <c r="G91" s="7">
        <v>3.345582673</v>
      </c>
      <c r="H91" s="7">
        <v>3.1581169999999998</v>
      </c>
      <c r="I91" s="7">
        <v>3.1831429999999998</v>
      </c>
      <c r="J91" s="8"/>
      <c r="K91" s="8"/>
      <c r="L91" s="7"/>
      <c r="M91" s="7"/>
      <c r="N91" s="7"/>
      <c r="O91" s="8"/>
      <c r="P91" s="8"/>
      <c r="Q91" s="8"/>
      <c r="R91" s="8"/>
      <c r="S91" s="7"/>
      <c r="T91" s="59"/>
      <c r="U91" s="7"/>
      <c r="V91" s="8"/>
      <c r="W91" s="7"/>
      <c r="X91" s="8"/>
      <c r="Y91" s="8"/>
      <c r="Z91" s="60">
        <f t="shared" si="3"/>
        <v>3.2908357802456635E-2</v>
      </c>
      <c r="AA91" s="53">
        <f t="shared" si="4"/>
        <v>3.2908357802456635E-2</v>
      </c>
      <c r="AB91">
        <f t="shared" si="5"/>
        <v>0.35435012900000001</v>
      </c>
    </row>
    <row r="92" spans="1:28" ht="21" hidden="1" x14ac:dyDescent="0.25">
      <c r="A92" s="3" t="s">
        <v>76</v>
      </c>
      <c r="B92" s="4">
        <v>32.015999999999998</v>
      </c>
      <c r="C92" s="5">
        <v>54480</v>
      </c>
      <c r="D92" s="6">
        <v>42794</v>
      </c>
      <c r="E92" s="7">
        <v>0.351965631</v>
      </c>
      <c r="F92" s="7">
        <v>5.7507536720000001</v>
      </c>
      <c r="G92" s="7">
        <v>3.3152879940000002</v>
      </c>
      <c r="H92" s="7">
        <v>3.1432419999999999</v>
      </c>
      <c r="I92" s="7">
        <v>3.168037</v>
      </c>
      <c r="J92" s="8"/>
      <c r="K92" s="8"/>
      <c r="L92" s="7"/>
      <c r="M92" s="7"/>
      <c r="N92" s="7"/>
      <c r="O92" s="8"/>
      <c r="P92" s="8"/>
      <c r="Q92" s="8"/>
      <c r="R92" s="8"/>
      <c r="S92" s="7"/>
      <c r="T92" s="59"/>
      <c r="U92" s="7"/>
      <c r="V92" s="8"/>
      <c r="W92" s="7"/>
      <c r="X92" s="8"/>
      <c r="Y92" s="8"/>
      <c r="Z92" s="60">
        <f t="shared" si="3"/>
        <v>3.2615175234023193E-2</v>
      </c>
      <c r="AA92" s="53">
        <f t="shared" si="4"/>
        <v>3.2615175234023193E-2</v>
      </c>
      <c r="AB92">
        <f t="shared" si="5"/>
        <v>0.351965631</v>
      </c>
    </row>
    <row r="93" spans="1:28" ht="21" hidden="1" x14ac:dyDescent="0.25">
      <c r="A93" s="3" t="s">
        <v>385</v>
      </c>
      <c r="B93" s="4">
        <v>32.526000000000003</v>
      </c>
      <c r="C93" s="5">
        <v>54666</v>
      </c>
      <c r="D93" s="6">
        <v>42794</v>
      </c>
      <c r="E93" s="7">
        <v>0.34950488200000002</v>
      </c>
      <c r="F93" s="7">
        <v>5.7221570369999997</v>
      </c>
      <c r="G93" s="7">
        <v>3.284785405</v>
      </c>
      <c r="H93" s="7">
        <v>3.1281279999999998</v>
      </c>
      <c r="I93" s="7">
        <v>3.152685</v>
      </c>
      <c r="J93" s="8"/>
      <c r="K93" s="8"/>
      <c r="L93" s="7"/>
      <c r="M93" s="7"/>
      <c r="N93" s="7"/>
      <c r="O93" s="8"/>
      <c r="P93" s="8"/>
      <c r="Q93" s="8"/>
      <c r="R93" s="8"/>
      <c r="S93" s="7"/>
      <c r="T93" s="59"/>
      <c r="U93" s="7"/>
      <c r="V93" s="8"/>
      <c r="W93" s="7"/>
      <c r="X93" s="8"/>
      <c r="Y93" s="8"/>
      <c r="Z93" s="60">
        <f t="shared" si="3"/>
        <v>3.2319893728181281E-2</v>
      </c>
      <c r="AA93" s="53">
        <f t="shared" si="4"/>
        <v>3.2319893728181281E-2</v>
      </c>
      <c r="AB93">
        <f t="shared" si="5"/>
        <v>0.34950488199999996</v>
      </c>
    </row>
    <row r="94" spans="1:28" ht="21" hidden="1" x14ac:dyDescent="0.25">
      <c r="A94" s="3" t="s">
        <v>77</v>
      </c>
      <c r="B94" s="4">
        <v>33.021999999999998</v>
      </c>
      <c r="C94" s="5">
        <v>54847</v>
      </c>
      <c r="D94" s="6">
        <v>42794</v>
      </c>
      <c r="E94" s="7">
        <v>0.34712679899999999</v>
      </c>
      <c r="F94" s="7">
        <v>5.6955858929999996</v>
      </c>
      <c r="G94" s="7">
        <v>3.2560148359999999</v>
      </c>
      <c r="H94" s="7">
        <v>3.1138110000000001</v>
      </c>
      <c r="I94" s="7">
        <v>3.1381450000000002</v>
      </c>
      <c r="J94" s="8"/>
      <c r="K94" s="8"/>
      <c r="L94" s="7"/>
      <c r="M94" s="7"/>
      <c r="N94" s="7"/>
      <c r="O94" s="8"/>
      <c r="P94" s="8"/>
      <c r="Q94" s="8"/>
      <c r="R94" s="8"/>
      <c r="S94" s="7"/>
      <c r="T94" s="59"/>
      <c r="U94" s="7"/>
      <c r="V94" s="8"/>
      <c r="W94" s="7"/>
      <c r="X94" s="8"/>
      <c r="Y94" s="8"/>
      <c r="Z94" s="60">
        <f t="shared" si="3"/>
        <v>3.2041299265003008E-2</v>
      </c>
      <c r="AA94" s="53">
        <f t="shared" si="4"/>
        <v>3.2041299265003008E-2</v>
      </c>
      <c r="AB94">
        <f t="shared" si="5"/>
        <v>0.34712679899999999</v>
      </c>
    </row>
    <row r="95" spans="1:28" ht="21" hidden="1" x14ac:dyDescent="0.25">
      <c r="A95" s="3" t="s">
        <v>386</v>
      </c>
      <c r="B95" s="4">
        <v>33.526000000000003</v>
      </c>
      <c r="C95" s="5">
        <v>55031</v>
      </c>
      <c r="D95" s="6">
        <v>42794</v>
      </c>
      <c r="E95" s="7">
        <v>0.34472588599999998</v>
      </c>
      <c r="F95" s="7">
        <v>5.6697905979999996</v>
      </c>
      <c r="G95" s="7">
        <v>3.2276476359999999</v>
      </c>
      <c r="H95" s="7">
        <v>3.0995659999999998</v>
      </c>
      <c r="I95" s="7">
        <v>3.123675</v>
      </c>
      <c r="J95" s="8"/>
      <c r="K95" s="8"/>
      <c r="L95" s="7"/>
      <c r="M95" s="7"/>
      <c r="N95" s="7"/>
      <c r="O95" s="8"/>
      <c r="P95" s="8"/>
      <c r="Q95" s="8"/>
      <c r="R95" s="8"/>
      <c r="S95" s="7"/>
      <c r="T95" s="59"/>
      <c r="U95" s="7"/>
      <c r="V95" s="8"/>
      <c r="W95" s="7"/>
      <c r="X95" s="8"/>
      <c r="Y95" s="8"/>
      <c r="Z95" s="60">
        <f t="shared" si="3"/>
        <v>3.176653465301537E-2</v>
      </c>
      <c r="AA95" s="53">
        <f t="shared" si="4"/>
        <v>3.176653465301537E-2</v>
      </c>
      <c r="AB95">
        <f t="shared" si="5"/>
        <v>0.34472588599999998</v>
      </c>
    </row>
    <row r="96" spans="1:28" ht="21" hidden="1" x14ac:dyDescent="0.25">
      <c r="A96" s="3" t="s">
        <v>78</v>
      </c>
      <c r="B96" s="4">
        <v>34.021999999999998</v>
      </c>
      <c r="C96" s="5">
        <v>55212</v>
      </c>
      <c r="D96" s="6">
        <v>42794</v>
      </c>
      <c r="E96" s="7">
        <v>0.34238032099999999</v>
      </c>
      <c r="F96" s="7">
        <v>5.6455624389999999</v>
      </c>
      <c r="G96" s="7">
        <v>3.2005704160000001</v>
      </c>
      <c r="H96" s="7">
        <v>3.0858690000000002</v>
      </c>
      <c r="I96" s="7">
        <v>3.109766</v>
      </c>
      <c r="J96" s="8"/>
      <c r="K96" s="8"/>
      <c r="L96" s="7"/>
      <c r="M96" s="7"/>
      <c r="N96" s="7"/>
      <c r="O96" s="8"/>
      <c r="P96" s="8"/>
      <c r="Q96" s="8"/>
      <c r="R96" s="8"/>
      <c r="S96" s="7"/>
      <c r="T96" s="59"/>
      <c r="U96" s="7"/>
      <c r="V96" s="8"/>
      <c r="W96" s="7"/>
      <c r="X96" s="8"/>
      <c r="Y96" s="8"/>
      <c r="Z96" s="60">
        <f t="shared" si="3"/>
        <v>3.150419432916983E-2</v>
      </c>
      <c r="AA96" s="53">
        <f t="shared" si="4"/>
        <v>3.150419432916983E-2</v>
      </c>
      <c r="AB96">
        <f t="shared" si="5"/>
        <v>0.34238032099999993</v>
      </c>
    </row>
    <row r="97" spans="1:28" ht="21" hidden="1" x14ac:dyDescent="0.25">
      <c r="A97" s="3" t="s">
        <v>387</v>
      </c>
      <c r="B97" s="4">
        <v>34.526000000000003</v>
      </c>
      <c r="C97" s="5">
        <v>55396</v>
      </c>
      <c r="D97" s="6">
        <v>42794</v>
      </c>
      <c r="E97" s="7">
        <v>0.34001223699999999</v>
      </c>
      <c r="F97" s="7">
        <v>5.6220502750000003</v>
      </c>
      <c r="G97" s="7">
        <v>3.1738486209999999</v>
      </c>
      <c r="H97" s="7">
        <v>3.0722879999999999</v>
      </c>
      <c r="I97" s="7">
        <v>3.0959729999999999</v>
      </c>
      <c r="J97" s="8"/>
      <c r="K97" s="8"/>
      <c r="L97" s="7"/>
      <c r="M97" s="7"/>
      <c r="N97" s="7"/>
      <c r="O97" s="8"/>
      <c r="P97" s="8"/>
      <c r="Q97" s="8"/>
      <c r="R97" s="8"/>
      <c r="S97" s="7"/>
      <c r="T97" s="59"/>
      <c r="U97" s="7"/>
      <c r="V97" s="8"/>
      <c r="W97" s="7"/>
      <c r="X97" s="8"/>
      <c r="Y97" s="8"/>
      <c r="Z97" s="60">
        <f t="shared" si="3"/>
        <v>3.1245230110914231E-2</v>
      </c>
      <c r="AA97" s="53">
        <f t="shared" si="4"/>
        <v>3.1245230110914231E-2</v>
      </c>
      <c r="AB97">
        <f t="shared" si="5"/>
        <v>0.34001223699999994</v>
      </c>
    </row>
    <row r="98" spans="1:28" ht="21" hidden="1" x14ac:dyDescent="0.25">
      <c r="A98" s="3" t="s">
        <v>79</v>
      </c>
      <c r="B98" s="4">
        <v>35.024999999999999</v>
      </c>
      <c r="C98" s="5">
        <v>55578</v>
      </c>
      <c r="D98" s="6">
        <v>42794</v>
      </c>
      <c r="E98" s="7">
        <v>0.33768600599999998</v>
      </c>
      <c r="F98" s="7">
        <v>5.5998574269999999</v>
      </c>
      <c r="G98" s="7">
        <v>3.148180516</v>
      </c>
      <c r="H98" s="7">
        <v>3.0591390000000001</v>
      </c>
      <c r="I98" s="7">
        <v>3.0826220000000002</v>
      </c>
      <c r="J98" s="8"/>
      <c r="K98" s="8"/>
      <c r="L98" s="7"/>
      <c r="M98" s="7"/>
      <c r="N98" s="7"/>
      <c r="O98" s="8"/>
      <c r="P98" s="8"/>
      <c r="Q98" s="8"/>
      <c r="R98" s="8"/>
      <c r="S98" s="7"/>
      <c r="T98" s="59"/>
      <c r="U98" s="7"/>
      <c r="V98" s="8"/>
      <c r="W98" s="7"/>
      <c r="X98" s="8"/>
      <c r="Y98" s="8"/>
      <c r="Z98" s="60">
        <f t="shared" si="3"/>
        <v>3.0996414184346881E-2</v>
      </c>
      <c r="AA98" s="53">
        <f t="shared" si="4"/>
        <v>3.0996414184346881E-2</v>
      </c>
      <c r="AB98">
        <f t="shared" si="5"/>
        <v>0.33768600599999998</v>
      </c>
    </row>
    <row r="99" spans="1:28" ht="21" hidden="1" x14ac:dyDescent="0.25">
      <c r="A99" s="3" t="s">
        <v>389</v>
      </c>
      <c r="B99" s="4">
        <v>35.526000000000003</v>
      </c>
      <c r="C99" s="5">
        <v>55761</v>
      </c>
      <c r="D99" s="6">
        <v>42794</v>
      </c>
      <c r="E99" s="7">
        <v>0.33536304</v>
      </c>
      <c r="F99" s="7">
        <v>5.5785668739999998</v>
      </c>
      <c r="G99" s="7">
        <v>3.123104031</v>
      </c>
      <c r="H99" s="7">
        <v>3.046211</v>
      </c>
      <c r="I99" s="7">
        <v>3.0694940000000002</v>
      </c>
      <c r="J99" s="8"/>
      <c r="K99" s="8"/>
      <c r="L99" s="7"/>
      <c r="M99" s="7"/>
      <c r="N99" s="7"/>
      <c r="O99" s="8"/>
      <c r="P99" s="8"/>
      <c r="Q99" s="8"/>
      <c r="R99" s="8"/>
      <c r="S99" s="7"/>
      <c r="T99" s="59"/>
      <c r="U99" s="7"/>
      <c r="V99" s="8"/>
      <c r="W99" s="7"/>
      <c r="X99" s="8"/>
      <c r="Y99" s="8"/>
      <c r="Z99" s="60">
        <f t="shared" si="3"/>
        <v>3.07532733741392E-2</v>
      </c>
      <c r="AA99" s="53">
        <f t="shared" si="4"/>
        <v>3.07532733741392E-2</v>
      </c>
      <c r="AB99">
        <f t="shared" si="5"/>
        <v>0.33536304</v>
      </c>
    </row>
    <row r="100" spans="1:28" ht="21" hidden="1" x14ac:dyDescent="0.25">
      <c r="A100" s="3" t="s">
        <v>80</v>
      </c>
      <c r="B100" s="4">
        <v>36.024999999999999</v>
      </c>
      <c r="C100" s="5">
        <v>55943</v>
      </c>
      <c r="D100" s="6">
        <v>42794</v>
      </c>
      <c r="E100" s="7">
        <v>0.33306861799999998</v>
      </c>
      <c r="F100" s="7">
        <v>5.5583716059999997</v>
      </c>
      <c r="G100" s="7">
        <v>3.0988626620000002</v>
      </c>
      <c r="H100" s="7">
        <v>3.0336310000000002</v>
      </c>
      <c r="I100" s="7">
        <v>3.056724</v>
      </c>
      <c r="J100" s="8"/>
      <c r="K100" s="8"/>
      <c r="L100" s="7"/>
      <c r="M100" s="7"/>
      <c r="N100" s="7"/>
      <c r="O100" s="8"/>
      <c r="P100" s="8"/>
      <c r="Q100" s="8"/>
      <c r="R100" s="8"/>
      <c r="S100" s="7"/>
      <c r="T100" s="59"/>
      <c r="U100" s="7"/>
      <c r="V100" s="8"/>
      <c r="W100" s="7"/>
      <c r="X100" s="8"/>
      <c r="Y100" s="8"/>
      <c r="Z100" s="60">
        <f t="shared" si="3"/>
        <v>3.0518173535000259E-2</v>
      </c>
      <c r="AA100" s="53">
        <f t="shared" si="4"/>
        <v>3.0518173535000259E-2</v>
      </c>
      <c r="AB100">
        <f t="shared" si="5"/>
        <v>0.33306861799999998</v>
      </c>
    </row>
    <row r="101" spans="1:28" ht="21" hidden="1" x14ac:dyDescent="0.25">
      <c r="A101" s="3" t="s">
        <v>390</v>
      </c>
      <c r="B101" s="4">
        <v>36.523000000000003</v>
      </c>
      <c r="C101" s="5">
        <v>56125</v>
      </c>
      <c r="D101" s="6">
        <v>42794</v>
      </c>
      <c r="E101" s="7">
        <v>0.33078989199999997</v>
      </c>
      <c r="F101" s="7">
        <v>5.539115196</v>
      </c>
      <c r="G101" s="7">
        <v>3.0752886660000001</v>
      </c>
      <c r="H101" s="7">
        <v>3.021328</v>
      </c>
      <c r="I101" s="7">
        <v>3.0442339999999999</v>
      </c>
      <c r="J101" s="8"/>
      <c r="K101" s="8"/>
      <c r="L101" s="7"/>
      <c r="M101" s="7"/>
      <c r="N101" s="7"/>
      <c r="O101" s="8"/>
      <c r="P101" s="8"/>
      <c r="Q101" s="8"/>
      <c r="R101" s="8"/>
      <c r="S101" s="7"/>
      <c r="T101" s="59"/>
      <c r="U101" s="7"/>
      <c r="V101" s="8"/>
      <c r="W101" s="7"/>
      <c r="X101" s="8"/>
      <c r="Y101" s="8"/>
      <c r="Z101" s="60">
        <f t="shared" si="3"/>
        <v>3.0289493171725638E-2</v>
      </c>
      <c r="AA101" s="53">
        <f t="shared" si="4"/>
        <v>3.0289493171725638E-2</v>
      </c>
      <c r="AB101">
        <f t="shared" si="5"/>
        <v>0.33078989200000003</v>
      </c>
    </row>
    <row r="102" spans="1:28" ht="21" hidden="1" x14ac:dyDescent="0.25">
      <c r="A102" s="3" t="s">
        <v>81</v>
      </c>
      <c r="B102" s="4">
        <v>37.021999999999998</v>
      </c>
      <c r="C102" s="5">
        <v>56307</v>
      </c>
      <c r="D102" s="6">
        <v>42794</v>
      </c>
      <c r="E102" s="7">
        <v>0.328526757</v>
      </c>
      <c r="F102" s="7">
        <v>5.5207623430000003</v>
      </c>
      <c r="G102" s="7">
        <v>3.0523548570000001</v>
      </c>
      <c r="H102" s="7">
        <v>3.0092829999999999</v>
      </c>
      <c r="I102" s="7">
        <v>3.0320100000000001</v>
      </c>
      <c r="J102" s="8"/>
      <c r="K102" s="8"/>
      <c r="L102" s="7"/>
      <c r="M102" s="7"/>
      <c r="N102" s="7"/>
      <c r="O102" s="8"/>
      <c r="P102" s="8"/>
      <c r="Q102" s="8"/>
      <c r="R102" s="8"/>
      <c r="S102" s="7"/>
      <c r="T102" s="59"/>
      <c r="U102" s="7"/>
      <c r="V102" s="8"/>
      <c r="W102" s="7"/>
      <c r="X102" s="8"/>
      <c r="Y102" s="8"/>
      <c r="Z102" s="60">
        <f t="shared" si="3"/>
        <v>3.0066972707518409E-2</v>
      </c>
      <c r="AA102" s="53">
        <f t="shared" si="4"/>
        <v>3.0066972707518409E-2</v>
      </c>
      <c r="AB102">
        <f t="shared" si="5"/>
        <v>0.328526757</v>
      </c>
    </row>
    <row r="103" spans="1:28" ht="21" hidden="1" x14ac:dyDescent="0.25">
      <c r="A103" s="3" t="s">
        <v>391</v>
      </c>
      <c r="B103" s="4">
        <v>37.529000000000003</v>
      </c>
      <c r="C103" s="5">
        <v>56492</v>
      </c>
      <c r="D103" s="6">
        <v>42794</v>
      </c>
      <c r="E103" s="7">
        <v>0.32624218599999999</v>
      </c>
      <c r="F103" s="7">
        <v>5.502998571</v>
      </c>
      <c r="G103" s="7">
        <v>3.029672616</v>
      </c>
      <c r="H103" s="7">
        <v>2.9972979999999998</v>
      </c>
      <c r="I103" s="7">
        <v>3.019844</v>
      </c>
      <c r="J103" s="8"/>
      <c r="K103" s="8"/>
      <c r="L103" s="7"/>
      <c r="M103" s="7"/>
      <c r="N103" s="7"/>
      <c r="O103" s="8"/>
      <c r="P103" s="8"/>
      <c r="Q103" s="8"/>
      <c r="R103" s="8"/>
      <c r="S103" s="7"/>
      <c r="T103" s="59"/>
      <c r="U103" s="7"/>
      <c r="V103" s="8"/>
      <c r="W103" s="7"/>
      <c r="X103" s="8"/>
      <c r="Y103" s="8"/>
      <c r="Z103" s="60">
        <f t="shared" si="3"/>
        <v>2.9846844366354194E-2</v>
      </c>
      <c r="AA103" s="53">
        <f t="shared" si="4"/>
        <v>2.9846844366354194E-2</v>
      </c>
      <c r="AB103">
        <f t="shared" si="5"/>
        <v>0.32624218599999993</v>
      </c>
    </row>
    <row r="104" spans="1:28" ht="21" hidden="1" x14ac:dyDescent="0.25">
      <c r="A104" s="3" t="s">
        <v>82</v>
      </c>
      <c r="B104" s="4">
        <v>38.018999999999998</v>
      </c>
      <c r="C104" s="5">
        <v>56671</v>
      </c>
      <c r="D104" s="6">
        <v>42794</v>
      </c>
      <c r="E104" s="7">
        <v>0.32404683200000001</v>
      </c>
      <c r="F104" s="7">
        <v>5.486635444</v>
      </c>
      <c r="G104" s="7">
        <v>3.0083062520000001</v>
      </c>
      <c r="H104" s="7">
        <v>2.9859770000000001</v>
      </c>
      <c r="I104" s="7">
        <v>3.0083549999999999</v>
      </c>
      <c r="J104" s="8"/>
      <c r="K104" s="8"/>
      <c r="L104" s="7"/>
      <c r="M104" s="7"/>
      <c r="N104" s="7"/>
      <c r="O104" s="8"/>
      <c r="P104" s="8"/>
      <c r="Q104" s="8"/>
      <c r="R104" s="8"/>
      <c r="S104" s="7"/>
      <c r="T104" s="59"/>
      <c r="U104" s="7"/>
      <c r="V104" s="8"/>
      <c r="W104" s="7"/>
      <c r="X104" s="8"/>
      <c r="Y104" s="8"/>
      <c r="Z104" s="60">
        <f t="shared" si="3"/>
        <v>2.9639442178081173E-2</v>
      </c>
      <c r="AA104" s="53">
        <f t="shared" si="4"/>
        <v>2.9639442178081173E-2</v>
      </c>
      <c r="AB104">
        <f t="shared" si="5"/>
        <v>0.32404683200000006</v>
      </c>
    </row>
    <row r="105" spans="1:28" ht="21" hidden="1" x14ac:dyDescent="0.25">
      <c r="A105" s="3" t="s">
        <v>392</v>
      </c>
      <c r="B105" s="4">
        <v>38.529000000000003</v>
      </c>
      <c r="C105" s="5">
        <v>56857</v>
      </c>
      <c r="D105" s="6">
        <v>42794</v>
      </c>
      <c r="E105" s="7">
        <v>0.32178127499999998</v>
      </c>
      <c r="F105" s="7">
        <v>5.4704606059999996</v>
      </c>
      <c r="G105" s="7">
        <v>2.986685086</v>
      </c>
      <c r="H105" s="7">
        <v>2.97444</v>
      </c>
      <c r="I105" s="7">
        <v>2.996645</v>
      </c>
      <c r="J105" s="8"/>
      <c r="K105" s="8"/>
      <c r="L105" s="7"/>
      <c r="M105" s="7"/>
      <c r="N105" s="7"/>
      <c r="O105" s="8"/>
      <c r="P105" s="8"/>
      <c r="Q105" s="8"/>
      <c r="R105" s="8"/>
      <c r="S105" s="7"/>
      <c r="T105" s="59"/>
      <c r="U105" s="7"/>
      <c r="V105" s="8"/>
      <c r="W105" s="7"/>
      <c r="X105" s="8"/>
      <c r="Y105" s="8"/>
      <c r="Z105" s="60">
        <f t="shared" si="3"/>
        <v>2.942952290179145E-2</v>
      </c>
      <c r="AA105" s="53">
        <f t="shared" si="4"/>
        <v>2.942952290179145E-2</v>
      </c>
      <c r="AB105">
        <f t="shared" si="5"/>
        <v>0.32178127499999998</v>
      </c>
    </row>
    <row r="106" spans="1:28" ht="21" hidden="1" x14ac:dyDescent="0.25">
      <c r="A106" s="3" t="s">
        <v>83</v>
      </c>
      <c r="B106" s="4">
        <v>39.027000000000001</v>
      </c>
      <c r="C106" s="5">
        <v>57039</v>
      </c>
      <c r="D106" s="6">
        <v>42794</v>
      </c>
      <c r="E106" s="7">
        <v>0.31957977399999998</v>
      </c>
      <c r="F106" s="7">
        <v>5.4554218790000002</v>
      </c>
      <c r="G106" s="7">
        <v>2.966079658</v>
      </c>
      <c r="H106" s="7">
        <v>2.9633759999999998</v>
      </c>
      <c r="I106" s="7">
        <v>2.9854159999999998</v>
      </c>
      <c r="J106" s="8"/>
      <c r="K106" s="8"/>
      <c r="L106" s="7"/>
      <c r="M106" s="7"/>
      <c r="N106" s="7"/>
      <c r="O106" s="8"/>
      <c r="P106" s="8"/>
      <c r="Q106" s="8"/>
      <c r="R106" s="8"/>
      <c r="S106" s="7"/>
      <c r="T106" s="59"/>
      <c r="U106" s="7"/>
      <c r="V106" s="8"/>
      <c r="W106" s="7"/>
      <c r="X106" s="8"/>
      <c r="Y106" s="8"/>
      <c r="Z106" s="60">
        <f t="shared" si="3"/>
        <v>2.9229424264233091E-2</v>
      </c>
      <c r="AA106" s="53">
        <f t="shared" si="4"/>
        <v>2.9229424264233091E-2</v>
      </c>
      <c r="AB106">
        <f t="shared" si="5"/>
        <v>0.31957977399999998</v>
      </c>
    </row>
    <row r="107" spans="1:28" ht="21" hidden="1" x14ac:dyDescent="0.25">
      <c r="A107" s="3" t="s">
        <v>393</v>
      </c>
      <c r="B107" s="4">
        <v>39.531999999999996</v>
      </c>
      <c r="C107" s="5">
        <v>57223</v>
      </c>
      <c r="D107" s="6">
        <v>42794</v>
      </c>
      <c r="E107" s="7">
        <v>0.31736938999999997</v>
      </c>
      <c r="F107" s="7">
        <v>5.4409827870000003</v>
      </c>
      <c r="G107" s="7">
        <v>2.945780241</v>
      </c>
      <c r="H107" s="7">
        <v>2.9524349999999999</v>
      </c>
      <c r="I107" s="7">
        <v>2.9743110000000001</v>
      </c>
      <c r="J107" s="8"/>
      <c r="K107" s="8"/>
      <c r="L107" s="7"/>
      <c r="M107" s="7"/>
      <c r="N107" s="7"/>
      <c r="O107" s="8"/>
      <c r="P107" s="8"/>
      <c r="Q107" s="8"/>
      <c r="R107" s="8"/>
      <c r="S107" s="7"/>
      <c r="T107" s="59"/>
      <c r="U107" s="7"/>
      <c r="V107" s="8"/>
      <c r="W107" s="7"/>
      <c r="X107" s="8"/>
      <c r="Y107" s="8"/>
      <c r="Z107" s="60">
        <f t="shared" si="3"/>
        <v>2.9032258237429134E-2</v>
      </c>
      <c r="AA107" s="53">
        <f t="shared" si="4"/>
        <v>2.9032258237429134E-2</v>
      </c>
      <c r="AB107">
        <f t="shared" si="5"/>
        <v>0.31736938999999997</v>
      </c>
    </row>
    <row r="108" spans="1:28" ht="21" hidden="1" x14ac:dyDescent="0.25">
      <c r="A108" s="3" t="s">
        <v>543</v>
      </c>
      <c r="B108" s="4">
        <v>40.027000000000001</v>
      </c>
      <c r="C108" s="5">
        <v>57404</v>
      </c>
      <c r="D108" s="6">
        <v>42794</v>
      </c>
      <c r="E108" s="7">
        <v>0.31520996299999998</v>
      </c>
      <c r="F108" s="7">
        <v>5.427503926</v>
      </c>
      <c r="G108" s="7">
        <v>2.9263144219999999</v>
      </c>
      <c r="H108" s="7">
        <v>2.9418799999999998</v>
      </c>
      <c r="I108" s="7">
        <v>2.9636</v>
      </c>
      <c r="J108" s="8"/>
      <c r="K108" s="8"/>
      <c r="L108" s="7"/>
      <c r="M108" s="7"/>
      <c r="N108" s="7"/>
      <c r="O108" s="8"/>
      <c r="P108" s="8"/>
      <c r="Q108" s="8"/>
      <c r="R108" s="8"/>
      <c r="S108" s="7"/>
      <c r="T108" s="59"/>
      <c r="U108" s="7"/>
      <c r="V108" s="8"/>
      <c r="W108" s="7"/>
      <c r="X108" s="8"/>
      <c r="Y108" s="8"/>
      <c r="Z108" s="60">
        <f t="shared" si="3"/>
        <v>2.884315224115851E-2</v>
      </c>
      <c r="AA108" s="53">
        <f t="shared" si="4"/>
        <v>2.884315224115851E-2</v>
      </c>
      <c r="AB108">
        <f t="shared" si="5"/>
        <v>0.31520996299999998</v>
      </c>
    </row>
    <row r="109" spans="1:28" ht="21" hidden="1" x14ac:dyDescent="0.25">
      <c r="A109" s="3" t="s">
        <v>394</v>
      </c>
      <c r="B109" s="4">
        <v>40.531999999999996</v>
      </c>
      <c r="C109" s="5">
        <v>57588</v>
      </c>
      <c r="D109" s="6">
        <v>42794</v>
      </c>
      <c r="E109" s="7">
        <v>0.313029803</v>
      </c>
      <c r="F109" s="7">
        <v>5.4145137139999999</v>
      </c>
      <c r="G109" s="7">
        <v>2.907017824</v>
      </c>
      <c r="H109" s="7">
        <v>2.931362</v>
      </c>
      <c r="I109" s="7">
        <v>2.9529260000000002</v>
      </c>
      <c r="J109" s="8"/>
      <c r="K109" s="8"/>
      <c r="L109" s="7"/>
      <c r="M109" s="7"/>
      <c r="N109" s="7"/>
      <c r="O109" s="8"/>
      <c r="P109" s="8"/>
      <c r="Q109" s="8"/>
      <c r="R109" s="8"/>
      <c r="S109" s="7"/>
      <c r="T109" s="59"/>
      <c r="U109" s="7"/>
      <c r="V109" s="8"/>
      <c r="W109" s="7"/>
      <c r="X109" s="8"/>
      <c r="Y109" s="8"/>
      <c r="Z109" s="60">
        <f t="shared" si="3"/>
        <v>2.8655654970846208E-2</v>
      </c>
      <c r="AA109" s="53">
        <f t="shared" si="4"/>
        <v>2.8655654970846208E-2</v>
      </c>
      <c r="AB109">
        <f t="shared" si="5"/>
        <v>0.313029803</v>
      </c>
    </row>
    <row r="110" spans="1:28" hidden="1" x14ac:dyDescent="0.25">
      <c r="A110" s="3" t="s">
        <v>85</v>
      </c>
      <c r="B110" s="4">
        <v>41.027000000000001</v>
      </c>
      <c r="C110" s="5">
        <v>57769</v>
      </c>
      <c r="D110" s="6">
        <v>42794</v>
      </c>
      <c r="E110" s="7">
        <v>0.31089990299999998</v>
      </c>
      <c r="F110" s="7">
        <v>5.4024127069999999</v>
      </c>
      <c r="G110" s="7">
        <v>2.8885019120000002</v>
      </c>
      <c r="H110" s="7">
        <v>2.9212539999999998</v>
      </c>
      <c r="I110" s="7">
        <v>2.9426700000000001</v>
      </c>
      <c r="J110" s="8"/>
      <c r="K110" s="8"/>
      <c r="L110" s="7"/>
      <c r="M110" s="7"/>
      <c r="N110" s="7"/>
      <c r="O110" s="8"/>
      <c r="P110" s="8"/>
      <c r="Q110" s="8"/>
      <c r="R110" s="8"/>
      <c r="S110" s="7"/>
      <c r="T110" s="59"/>
      <c r="U110" s="7"/>
      <c r="V110" s="8"/>
      <c r="W110" s="7"/>
      <c r="X110" s="8"/>
      <c r="Y110" s="8"/>
      <c r="Z110" s="60">
        <f t="shared" si="3"/>
        <v>2.8475710182233063E-2</v>
      </c>
      <c r="AA110" s="53">
        <f t="shared" si="4"/>
        <v>2.8475710182233063E-2</v>
      </c>
      <c r="AB110">
        <f t="shared" si="5"/>
        <v>0.31089990299999998</v>
      </c>
    </row>
    <row r="111" spans="1:28" ht="21" hidden="1" x14ac:dyDescent="0.25">
      <c r="A111" s="3" t="s">
        <v>395</v>
      </c>
      <c r="B111" s="4">
        <v>41.529000000000003</v>
      </c>
      <c r="C111" s="5">
        <v>57952</v>
      </c>
      <c r="D111" s="6">
        <v>42794</v>
      </c>
      <c r="E111" s="7">
        <v>0.30876120000000001</v>
      </c>
      <c r="F111" s="7">
        <v>5.3908388340000002</v>
      </c>
      <c r="G111" s="7">
        <v>2.8702342189999999</v>
      </c>
      <c r="H111" s="7">
        <v>2.911216</v>
      </c>
      <c r="I111" s="7">
        <v>2.9324840000000001</v>
      </c>
      <c r="J111" s="8"/>
      <c r="K111" s="8"/>
      <c r="L111" s="7"/>
      <c r="M111" s="7"/>
      <c r="N111" s="7"/>
      <c r="O111" s="8"/>
      <c r="P111" s="8"/>
      <c r="Q111" s="8"/>
      <c r="R111" s="8"/>
      <c r="S111" s="7"/>
      <c r="T111" s="59"/>
      <c r="U111" s="7"/>
      <c r="V111" s="8"/>
      <c r="W111" s="7"/>
      <c r="X111" s="8"/>
      <c r="Y111" s="8"/>
      <c r="Z111" s="60">
        <f t="shared" si="3"/>
        <v>2.8298146027437483E-2</v>
      </c>
      <c r="AA111" s="53">
        <f t="shared" si="4"/>
        <v>2.8298146027437483E-2</v>
      </c>
      <c r="AB111">
        <f t="shared" si="5"/>
        <v>0.30876119999999996</v>
      </c>
    </row>
    <row r="112" spans="1:28" ht="21" hidden="1" x14ac:dyDescent="0.25">
      <c r="A112" s="3" t="s">
        <v>86</v>
      </c>
      <c r="B112" s="4">
        <v>42.027000000000001</v>
      </c>
      <c r="C112" s="5">
        <v>58134</v>
      </c>
      <c r="D112" s="6">
        <v>42794</v>
      </c>
      <c r="E112" s="7">
        <v>0.30664877699999998</v>
      </c>
      <c r="F112" s="7">
        <v>5.3799662809999997</v>
      </c>
      <c r="G112" s="7">
        <v>2.852501738</v>
      </c>
      <c r="H112" s="7">
        <v>2.9014410000000002</v>
      </c>
      <c r="I112" s="7">
        <v>2.9225669999999999</v>
      </c>
      <c r="J112" s="8"/>
      <c r="K112" s="8"/>
      <c r="L112" s="7"/>
      <c r="M112" s="7"/>
      <c r="N112" s="7"/>
      <c r="O112" s="8"/>
      <c r="P112" s="8"/>
      <c r="Q112" s="8"/>
      <c r="R112" s="8"/>
      <c r="S112" s="7"/>
      <c r="T112" s="59"/>
      <c r="U112" s="7"/>
      <c r="V112" s="8"/>
      <c r="W112" s="7"/>
      <c r="X112" s="8"/>
      <c r="Y112" s="8"/>
      <c r="Z112" s="60">
        <f t="shared" si="3"/>
        <v>2.8125753966107572E-2</v>
      </c>
      <c r="AA112" s="53">
        <f t="shared" si="4"/>
        <v>2.8125753966107572E-2</v>
      </c>
      <c r="AB112">
        <f t="shared" si="5"/>
        <v>0.30664877699999993</v>
      </c>
    </row>
    <row r="113" spans="1:28" ht="21" hidden="1" x14ac:dyDescent="0.25">
      <c r="A113" s="3" t="s">
        <v>396</v>
      </c>
      <c r="B113" s="4">
        <v>42.526000000000003</v>
      </c>
      <c r="C113" s="5">
        <v>58316</v>
      </c>
      <c r="D113" s="6">
        <v>42794</v>
      </c>
      <c r="E113" s="7">
        <v>0.30455080600000001</v>
      </c>
      <c r="F113" s="7">
        <v>5.3697101070000004</v>
      </c>
      <c r="G113" s="7">
        <v>2.8351880450000002</v>
      </c>
      <c r="H113" s="7">
        <v>2.8918249999999999</v>
      </c>
      <c r="I113" s="7">
        <v>2.9128120000000002</v>
      </c>
      <c r="J113" s="8"/>
      <c r="K113" s="8"/>
      <c r="L113" s="7"/>
      <c r="M113" s="7"/>
      <c r="N113" s="7"/>
      <c r="O113" s="8"/>
      <c r="P113" s="8"/>
      <c r="Q113" s="8"/>
      <c r="R113" s="8"/>
      <c r="S113" s="7"/>
      <c r="T113" s="59"/>
      <c r="U113" s="7"/>
      <c r="V113" s="8"/>
      <c r="W113" s="7"/>
      <c r="X113" s="8"/>
      <c r="Y113" s="8"/>
      <c r="Z113" s="60">
        <f t="shared" si="3"/>
        <v>2.7957404628208404E-2</v>
      </c>
      <c r="AA113" s="53">
        <f t="shared" si="4"/>
        <v>2.7957404628208404E-2</v>
      </c>
      <c r="AB113">
        <f t="shared" si="5"/>
        <v>0.30455080600000001</v>
      </c>
    </row>
    <row r="114" spans="1:28" ht="21" hidden="1" x14ac:dyDescent="0.25">
      <c r="A114" s="3" t="s">
        <v>87</v>
      </c>
      <c r="B114" s="4">
        <v>43.024999999999999</v>
      </c>
      <c r="C114" s="5">
        <v>58498</v>
      </c>
      <c r="D114" s="6">
        <v>42794</v>
      </c>
      <c r="E114" s="7">
        <v>0.30246718900000003</v>
      </c>
      <c r="F114" s="7">
        <v>5.3600513420000002</v>
      </c>
      <c r="G114" s="7">
        <v>2.8182784769999998</v>
      </c>
      <c r="H114" s="7">
        <v>2.8824049999999999</v>
      </c>
      <c r="I114" s="7">
        <v>2.9032580000000001</v>
      </c>
      <c r="J114" s="8"/>
      <c r="K114" s="8"/>
      <c r="L114" s="7"/>
      <c r="M114" s="7"/>
      <c r="N114" s="7"/>
      <c r="O114" s="8"/>
      <c r="P114" s="8"/>
      <c r="Q114" s="8"/>
      <c r="R114" s="8"/>
      <c r="S114" s="7"/>
      <c r="T114" s="59"/>
      <c r="U114" s="7"/>
      <c r="V114" s="8"/>
      <c r="W114" s="7"/>
      <c r="X114" s="8"/>
      <c r="Y114" s="8"/>
      <c r="Z114" s="60">
        <f t="shared" si="3"/>
        <v>2.7792957388632425E-2</v>
      </c>
      <c r="AA114" s="53">
        <f t="shared" si="4"/>
        <v>2.7792957388632425E-2</v>
      </c>
      <c r="AB114">
        <f t="shared" si="5"/>
        <v>0.30246718899999997</v>
      </c>
    </row>
    <row r="115" spans="1:28" ht="21" hidden="1" x14ac:dyDescent="0.25">
      <c r="A115" s="3" t="s">
        <v>397</v>
      </c>
      <c r="B115" s="4">
        <v>43.533999999999999</v>
      </c>
      <c r="C115" s="5">
        <v>58684</v>
      </c>
      <c r="D115" s="6">
        <v>42794</v>
      </c>
      <c r="E115" s="7">
        <v>0.30035250499999999</v>
      </c>
      <c r="F115" s="7">
        <v>5.35077873</v>
      </c>
      <c r="G115" s="7">
        <v>2.8014002630000001</v>
      </c>
      <c r="H115" s="7">
        <v>2.8729610000000001</v>
      </c>
      <c r="I115" s="7">
        <v>2.8936769999999998</v>
      </c>
      <c r="J115" s="8"/>
      <c r="K115" s="8"/>
      <c r="L115" s="7"/>
      <c r="M115" s="7"/>
      <c r="N115" s="7"/>
      <c r="O115" s="8"/>
      <c r="P115" s="8"/>
      <c r="Q115" s="8"/>
      <c r="R115" s="8"/>
      <c r="S115" s="7"/>
      <c r="T115" s="59"/>
      <c r="U115" s="7"/>
      <c r="V115" s="8"/>
      <c r="W115" s="7"/>
      <c r="X115" s="8"/>
      <c r="Y115" s="8"/>
      <c r="Z115" s="60">
        <f t="shared" si="3"/>
        <v>2.7628788185628531E-2</v>
      </c>
      <c r="AA115" s="53">
        <f t="shared" si="4"/>
        <v>2.7628788185628531E-2</v>
      </c>
      <c r="AB115">
        <f t="shared" si="5"/>
        <v>0.30035250499999999</v>
      </c>
    </row>
    <row r="116" spans="1:28" ht="21" hidden="1" x14ac:dyDescent="0.25">
      <c r="A116" s="3" t="s">
        <v>88</v>
      </c>
      <c r="B116" s="4">
        <v>44.03</v>
      </c>
      <c r="C116" s="5">
        <v>58865</v>
      </c>
      <c r="D116" s="6">
        <v>42794</v>
      </c>
      <c r="E116" s="7">
        <v>0.29830886299999998</v>
      </c>
      <c r="F116" s="7">
        <v>5.3423187629999997</v>
      </c>
      <c r="G116" s="7">
        <v>2.785353406</v>
      </c>
      <c r="H116" s="7">
        <v>2.8639800000000002</v>
      </c>
      <c r="I116" s="7">
        <v>2.8845679999999998</v>
      </c>
      <c r="J116" s="8"/>
      <c r="K116" s="8"/>
      <c r="L116" s="7"/>
      <c r="M116" s="7"/>
      <c r="N116" s="7"/>
      <c r="O116" s="8"/>
      <c r="P116" s="8"/>
      <c r="Q116" s="8"/>
      <c r="R116" s="8"/>
      <c r="S116" s="7"/>
      <c r="T116" s="59"/>
      <c r="U116" s="7"/>
      <c r="V116" s="8"/>
      <c r="W116" s="7"/>
      <c r="X116" s="8"/>
      <c r="Y116" s="8"/>
      <c r="Z116" s="60">
        <f t="shared" si="3"/>
        <v>2.7472680282133233E-2</v>
      </c>
      <c r="AA116" s="53">
        <f t="shared" si="4"/>
        <v>2.7472680282133233E-2</v>
      </c>
      <c r="AB116">
        <f t="shared" si="5"/>
        <v>0.29830886299999998</v>
      </c>
    </row>
    <row r="117" spans="1:28" ht="21" hidden="1" x14ac:dyDescent="0.25">
      <c r="A117" s="3" t="s">
        <v>398</v>
      </c>
      <c r="B117" s="4">
        <v>44.533999999999999</v>
      </c>
      <c r="C117" s="5">
        <v>59049</v>
      </c>
      <c r="D117" s="6">
        <v>42794</v>
      </c>
      <c r="E117" s="7">
        <v>0.2962456</v>
      </c>
      <c r="F117" s="7">
        <v>5.3342713499999999</v>
      </c>
      <c r="G117" s="7">
        <v>2.769409359</v>
      </c>
      <c r="H117" s="7">
        <v>2.8549869999999999</v>
      </c>
      <c r="I117" s="7">
        <v>2.8754439999999999</v>
      </c>
      <c r="J117" s="8"/>
      <c r="K117" s="8"/>
      <c r="L117" s="7"/>
      <c r="M117" s="7"/>
      <c r="N117" s="7"/>
      <c r="O117" s="8"/>
      <c r="P117" s="8"/>
      <c r="Q117" s="8"/>
      <c r="R117" s="8"/>
      <c r="S117" s="7"/>
      <c r="T117" s="59"/>
      <c r="U117" s="7"/>
      <c r="V117" s="8"/>
      <c r="W117" s="7"/>
      <c r="X117" s="8"/>
      <c r="Y117" s="8"/>
      <c r="Z117" s="60">
        <f t="shared" si="3"/>
        <v>2.7317548460275322E-2</v>
      </c>
      <c r="AA117" s="53">
        <f t="shared" si="4"/>
        <v>2.7317548460275322E-2</v>
      </c>
      <c r="AB117">
        <f t="shared" si="5"/>
        <v>0.2962456</v>
      </c>
    </row>
    <row r="118" spans="1:28" ht="21" hidden="1" x14ac:dyDescent="0.25">
      <c r="A118" s="3" t="s">
        <v>89</v>
      </c>
      <c r="B118" s="4">
        <v>45.03</v>
      </c>
      <c r="C118" s="5">
        <v>59230</v>
      </c>
      <c r="D118" s="6">
        <v>42794</v>
      </c>
      <c r="E118" s="7">
        <v>0.29422990199999999</v>
      </c>
      <c r="F118" s="7">
        <v>5.326883252</v>
      </c>
      <c r="G118" s="7">
        <v>2.7540759060000002</v>
      </c>
      <c r="H118" s="7">
        <v>2.8463259999999999</v>
      </c>
      <c r="I118" s="7">
        <v>2.8666589999999998</v>
      </c>
      <c r="J118" s="8"/>
      <c r="K118" s="8"/>
      <c r="L118" s="7"/>
      <c r="M118" s="7"/>
      <c r="N118" s="7"/>
      <c r="O118" s="8"/>
      <c r="P118" s="8"/>
      <c r="Q118" s="8"/>
      <c r="R118" s="8"/>
      <c r="S118" s="7"/>
      <c r="T118" s="59"/>
      <c r="U118" s="7"/>
      <c r="V118" s="8"/>
      <c r="W118" s="7"/>
      <c r="X118" s="8"/>
      <c r="Y118" s="8"/>
      <c r="Z118" s="60">
        <f t="shared" si="3"/>
        <v>2.7168334797882818E-2</v>
      </c>
      <c r="AA118" s="53">
        <f t="shared" si="4"/>
        <v>2.7168334797882818E-2</v>
      </c>
      <c r="AB118">
        <f t="shared" si="5"/>
        <v>0.29422990199999999</v>
      </c>
    </row>
    <row r="119" spans="1:28" ht="21" hidden="1" x14ac:dyDescent="0.25">
      <c r="A119" s="3" t="s">
        <v>399</v>
      </c>
      <c r="B119" s="4">
        <v>45.533999999999999</v>
      </c>
      <c r="C119" s="5">
        <v>59414</v>
      </c>
      <c r="D119" s="6">
        <v>42794</v>
      </c>
      <c r="E119" s="7">
        <v>0.292194852</v>
      </c>
      <c r="F119" s="7">
        <v>5.3198942809999998</v>
      </c>
      <c r="G119" s="7">
        <v>2.7388329009999999</v>
      </c>
      <c r="H119" s="7">
        <v>2.8376700000000001</v>
      </c>
      <c r="I119" s="7">
        <v>2.8578790000000001</v>
      </c>
      <c r="J119" s="8"/>
      <c r="K119" s="8"/>
      <c r="L119" s="7"/>
      <c r="M119" s="7"/>
      <c r="N119" s="7"/>
      <c r="O119" s="8"/>
      <c r="P119" s="8"/>
      <c r="Q119" s="8"/>
      <c r="R119" s="8"/>
      <c r="S119" s="7"/>
      <c r="T119" s="59"/>
      <c r="U119" s="7"/>
      <c r="V119" s="8"/>
      <c r="W119" s="7"/>
      <c r="X119" s="8"/>
      <c r="Y119" s="8"/>
      <c r="Z119" s="60">
        <f t="shared" si="3"/>
        <v>2.7019979255719129E-2</v>
      </c>
      <c r="AA119" s="53">
        <f t="shared" si="4"/>
        <v>2.7019979255719129E-2</v>
      </c>
      <c r="AB119">
        <f t="shared" si="5"/>
        <v>0.292194852</v>
      </c>
    </row>
    <row r="120" spans="1:28" ht="21" hidden="1" x14ac:dyDescent="0.25">
      <c r="A120" s="3" t="s">
        <v>90</v>
      </c>
      <c r="B120" s="4">
        <v>46.03</v>
      </c>
      <c r="C120" s="5">
        <v>59595</v>
      </c>
      <c r="D120" s="6">
        <v>42794</v>
      </c>
      <c r="E120" s="7">
        <v>0.29020671599999998</v>
      </c>
      <c r="F120" s="7">
        <v>5.3135180530000001</v>
      </c>
      <c r="G120" s="7">
        <v>2.724166313</v>
      </c>
      <c r="H120" s="7">
        <v>2.829307</v>
      </c>
      <c r="I120" s="7">
        <v>2.8493970000000002</v>
      </c>
      <c r="J120" s="8"/>
      <c r="K120" s="8"/>
      <c r="L120" s="7"/>
      <c r="M120" s="7"/>
      <c r="N120" s="7"/>
      <c r="O120" s="8"/>
      <c r="P120" s="8"/>
      <c r="Q120" s="8"/>
      <c r="R120" s="8"/>
      <c r="S120" s="7"/>
      <c r="T120" s="59"/>
      <c r="U120" s="7"/>
      <c r="V120" s="8"/>
      <c r="W120" s="7"/>
      <c r="X120" s="8"/>
      <c r="Y120" s="8"/>
      <c r="Z120" s="60">
        <f t="shared" si="3"/>
        <v>2.6877212998687873E-2</v>
      </c>
      <c r="AA120" s="53">
        <f t="shared" si="4"/>
        <v>2.6877212998687873E-2</v>
      </c>
      <c r="AB120">
        <f t="shared" si="5"/>
        <v>0.29020671599999998</v>
      </c>
    </row>
    <row r="121" spans="1:28" ht="21" hidden="1" x14ac:dyDescent="0.25">
      <c r="A121" s="3" t="s">
        <v>400</v>
      </c>
      <c r="B121" s="4">
        <v>46.533999999999999</v>
      </c>
      <c r="C121" s="5">
        <v>59779</v>
      </c>
      <c r="D121" s="6">
        <v>42794</v>
      </c>
      <c r="E121" s="7">
        <v>0.288199492</v>
      </c>
      <c r="F121" s="7">
        <v>5.3075292479999998</v>
      </c>
      <c r="G121" s="7">
        <v>2.709579111</v>
      </c>
      <c r="H121" s="7">
        <v>2.8209610000000001</v>
      </c>
      <c r="I121" s="7">
        <v>2.840932</v>
      </c>
      <c r="J121" s="8"/>
      <c r="K121" s="8"/>
      <c r="L121" s="7"/>
      <c r="M121" s="7"/>
      <c r="N121" s="7"/>
      <c r="O121" s="8"/>
      <c r="P121" s="8"/>
      <c r="Q121" s="8"/>
      <c r="R121" s="8"/>
      <c r="S121" s="7"/>
      <c r="T121" s="59"/>
      <c r="U121" s="7"/>
      <c r="V121" s="8"/>
      <c r="W121" s="7"/>
      <c r="X121" s="8"/>
      <c r="Y121" s="8"/>
      <c r="Z121" s="60">
        <f t="shared" si="3"/>
        <v>2.673519933472629E-2</v>
      </c>
      <c r="AA121" s="53">
        <f t="shared" si="4"/>
        <v>2.673519933472629E-2</v>
      </c>
      <c r="AB121">
        <f t="shared" si="5"/>
        <v>0.288199492</v>
      </c>
    </row>
    <row r="122" spans="1:28" ht="21" hidden="1" x14ac:dyDescent="0.25">
      <c r="A122" s="3" t="s">
        <v>91</v>
      </c>
      <c r="B122" s="4">
        <v>47.033000000000001</v>
      </c>
      <c r="C122" s="5">
        <v>59961</v>
      </c>
      <c r="D122" s="6">
        <v>42794</v>
      </c>
      <c r="E122" s="7">
        <v>0.28622774400000001</v>
      </c>
      <c r="F122" s="7">
        <v>5.3020814319999996</v>
      </c>
      <c r="G122" s="7">
        <v>2.695460057</v>
      </c>
      <c r="H122" s="7">
        <v>2.8128739999999999</v>
      </c>
      <c r="I122" s="7">
        <v>2.8327300000000002</v>
      </c>
      <c r="J122" s="8"/>
      <c r="K122" s="8"/>
      <c r="L122" s="7"/>
      <c r="M122" s="7"/>
      <c r="N122" s="7"/>
      <c r="O122" s="8"/>
      <c r="P122" s="8"/>
      <c r="Q122" s="8"/>
      <c r="R122" s="8"/>
      <c r="S122" s="7"/>
      <c r="T122" s="59"/>
      <c r="U122" s="7"/>
      <c r="V122" s="8"/>
      <c r="W122" s="7"/>
      <c r="X122" s="8"/>
      <c r="Y122" s="8"/>
      <c r="Z122" s="60">
        <f t="shared" si="3"/>
        <v>2.6597724077269042E-2</v>
      </c>
      <c r="AA122" s="53">
        <f t="shared" si="4"/>
        <v>2.6597724077269042E-2</v>
      </c>
      <c r="AB122">
        <f t="shared" si="5"/>
        <v>0.28622774400000001</v>
      </c>
    </row>
    <row r="123" spans="1:28" ht="21" hidden="1" x14ac:dyDescent="0.25">
      <c r="A123" s="3" t="s">
        <v>401</v>
      </c>
      <c r="B123" s="4">
        <v>47.531999999999996</v>
      </c>
      <c r="C123" s="5">
        <v>60143</v>
      </c>
      <c r="D123" s="6">
        <v>42794</v>
      </c>
      <c r="E123" s="7">
        <v>0.28426948499999999</v>
      </c>
      <c r="F123" s="7">
        <v>5.297094338</v>
      </c>
      <c r="G123" s="7">
        <v>2.6816391159999999</v>
      </c>
      <c r="H123" s="7">
        <v>2.8049400000000002</v>
      </c>
      <c r="I123" s="7">
        <v>2.8246850000000001</v>
      </c>
      <c r="J123" s="8"/>
      <c r="K123" s="8"/>
      <c r="L123" s="7"/>
      <c r="M123" s="7"/>
      <c r="N123" s="7"/>
      <c r="O123" s="8"/>
      <c r="P123" s="8"/>
      <c r="Q123" s="8"/>
      <c r="R123" s="8"/>
      <c r="S123" s="7"/>
      <c r="T123" s="59"/>
      <c r="U123" s="7"/>
      <c r="V123" s="8"/>
      <c r="W123" s="7"/>
      <c r="X123" s="8"/>
      <c r="Y123" s="8"/>
      <c r="Z123" s="60">
        <f t="shared" si="3"/>
        <v>2.6463133261812728E-2</v>
      </c>
      <c r="AA123" s="53">
        <f t="shared" si="4"/>
        <v>2.6463133261812728E-2</v>
      </c>
      <c r="AB123">
        <f t="shared" si="5"/>
        <v>0.28426948499999999</v>
      </c>
    </row>
    <row r="124" spans="1:28" ht="21" hidden="1" x14ac:dyDescent="0.25">
      <c r="A124" s="3" t="s">
        <v>92</v>
      </c>
      <c r="B124" s="4">
        <v>48.03</v>
      </c>
      <c r="C124" s="5">
        <v>60325</v>
      </c>
      <c r="D124" s="6">
        <v>42794</v>
      </c>
      <c r="E124" s="7">
        <v>0.282324625</v>
      </c>
      <c r="F124" s="7">
        <v>5.2925559780000002</v>
      </c>
      <c r="G124" s="7">
        <v>2.6681069449999999</v>
      </c>
      <c r="H124" s="7">
        <v>2.7971249999999999</v>
      </c>
      <c r="I124" s="7">
        <v>2.8167620000000002</v>
      </c>
      <c r="J124" s="8"/>
      <c r="K124" s="8"/>
      <c r="L124" s="7"/>
      <c r="M124" s="7"/>
      <c r="N124" s="7"/>
      <c r="O124" s="8"/>
      <c r="P124" s="8"/>
      <c r="Q124" s="8"/>
      <c r="R124" s="8"/>
      <c r="S124" s="7"/>
      <c r="T124" s="59"/>
      <c r="U124" s="7"/>
      <c r="V124" s="8"/>
      <c r="W124" s="7"/>
      <c r="X124" s="8"/>
      <c r="Y124" s="8"/>
      <c r="Z124" s="60">
        <f t="shared" si="3"/>
        <v>2.6331336885223346E-2</v>
      </c>
      <c r="AA124" s="53">
        <f t="shared" si="4"/>
        <v>2.6331336885223346E-2</v>
      </c>
      <c r="AB124">
        <f t="shared" si="5"/>
        <v>0.28232462499999994</v>
      </c>
    </row>
    <row r="125" spans="1:28" ht="21" hidden="1" x14ac:dyDescent="0.25">
      <c r="A125" s="3" t="s">
        <v>402</v>
      </c>
      <c r="B125" s="4">
        <v>48.536999999999999</v>
      </c>
      <c r="C125" s="5">
        <v>60510</v>
      </c>
      <c r="D125" s="6">
        <v>42794</v>
      </c>
      <c r="E125" s="7">
        <v>0.28036134200000001</v>
      </c>
      <c r="F125" s="7">
        <v>5.2883908750000002</v>
      </c>
      <c r="G125" s="7">
        <v>2.654638437</v>
      </c>
      <c r="H125" s="7">
        <v>2.78932</v>
      </c>
      <c r="I125" s="7">
        <v>2.808846</v>
      </c>
      <c r="J125" s="8"/>
      <c r="K125" s="8"/>
      <c r="L125" s="7"/>
      <c r="M125" s="7"/>
      <c r="N125" s="7"/>
      <c r="O125" s="8"/>
      <c r="P125" s="8"/>
      <c r="Q125" s="8"/>
      <c r="R125" s="8"/>
      <c r="S125" s="7"/>
      <c r="T125" s="59"/>
      <c r="U125" s="7"/>
      <c r="V125" s="8"/>
      <c r="W125" s="7"/>
      <c r="X125" s="8"/>
      <c r="Y125" s="8"/>
      <c r="Z125" s="60">
        <f t="shared" si="3"/>
        <v>2.6200143386792184E-2</v>
      </c>
      <c r="AA125" s="53">
        <f t="shared" si="4"/>
        <v>2.6200143386792184E-2</v>
      </c>
      <c r="AB125">
        <f t="shared" si="5"/>
        <v>0.28036134200000001</v>
      </c>
    </row>
    <row r="126" spans="1:28" ht="21" hidden="1" x14ac:dyDescent="0.25">
      <c r="A126" s="3" t="s">
        <v>93</v>
      </c>
      <c r="B126" s="4">
        <v>49.027000000000001</v>
      </c>
      <c r="C126" s="5">
        <v>60689</v>
      </c>
      <c r="D126" s="6">
        <v>42794</v>
      </c>
      <c r="E126" s="7">
        <v>0.27847473</v>
      </c>
      <c r="F126" s="7">
        <v>5.2847800319999996</v>
      </c>
      <c r="G126" s="7">
        <v>2.641873452</v>
      </c>
      <c r="H126" s="7">
        <v>2.7818969999999998</v>
      </c>
      <c r="I126" s="7">
        <v>2.8013210000000002</v>
      </c>
      <c r="J126" s="8"/>
      <c r="K126" s="8"/>
      <c r="L126" s="7"/>
      <c r="M126" s="7"/>
      <c r="N126" s="7"/>
      <c r="O126" s="8"/>
      <c r="P126" s="8"/>
      <c r="Q126" s="8"/>
      <c r="R126" s="8"/>
      <c r="S126" s="7"/>
      <c r="T126" s="59"/>
      <c r="U126" s="7"/>
      <c r="V126" s="8"/>
      <c r="W126" s="7"/>
      <c r="X126" s="8"/>
      <c r="Y126" s="8"/>
      <c r="Z126" s="60">
        <f t="shared" si="3"/>
        <v>2.6075786830593788E-2</v>
      </c>
      <c r="AA126" s="53">
        <f t="shared" si="4"/>
        <v>2.6075786830593788E-2</v>
      </c>
      <c r="AB126">
        <f t="shared" si="5"/>
        <v>0.27847473</v>
      </c>
    </row>
    <row r="127" spans="1:28" ht="21" hidden="1" x14ac:dyDescent="0.25">
      <c r="A127" s="3" t="s">
        <v>403</v>
      </c>
      <c r="B127" s="4">
        <v>49.536999999999999</v>
      </c>
      <c r="C127" s="5">
        <v>60875</v>
      </c>
      <c r="D127" s="6">
        <v>42794</v>
      </c>
      <c r="E127" s="7">
        <v>0.27652778900000002</v>
      </c>
      <c r="F127" s="7">
        <v>5.2814538750000004</v>
      </c>
      <c r="G127" s="7">
        <v>2.6288786719999999</v>
      </c>
      <c r="H127" s="7">
        <v>2.7743359999999999</v>
      </c>
      <c r="I127" s="7">
        <v>2.7936540000000001</v>
      </c>
      <c r="J127" s="8"/>
      <c r="K127" s="8"/>
      <c r="L127" s="7"/>
      <c r="M127" s="7"/>
      <c r="N127" s="7"/>
      <c r="O127" s="8"/>
      <c r="P127" s="8"/>
      <c r="Q127" s="8"/>
      <c r="R127" s="8"/>
      <c r="S127" s="7"/>
      <c r="T127" s="59"/>
      <c r="U127" s="7"/>
      <c r="V127" s="8"/>
      <c r="W127" s="7"/>
      <c r="X127" s="8"/>
      <c r="Y127" s="8"/>
      <c r="Z127" s="60">
        <f t="shared" si="3"/>
        <v>2.5949175683337492E-2</v>
      </c>
      <c r="AA127" s="53">
        <f t="shared" si="4"/>
        <v>2.5949175683337492E-2</v>
      </c>
      <c r="AB127">
        <f t="shared" si="5"/>
        <v>0.27652778900000002</v>
      </c>
    </row>
    <row r="128" spans="1:28" ht="21" hidden="1" x14ac:dyDescent="0.25">
      <c r="A128" s="3" t="s">
        <v>544</v>
      </c>
      <c r="B128" s="4">
        <v>50.033000000000001</v>
      </c>
      <c r="C128" s="5">
        <v>61056</v>
      </c>
      <c r="D128" s="6">
        <v>42794</v>
      </c>
      <c r="E128" s="7">
        <v>0.27464625399999998</v>
      </c>
      <c r="F128" s="7">
        <v>5.2786237229999999</v>
      </c>
      <c r="G128" s="7">
        <v>2.6164888739999999</v>
      </c>
      <c r="H128" s="7">
        <v>2.767118</v>
      </c>
      <c r="I128" s="7">
        <v>2.7863359999999999</v>
      </c>
      <c r="J128" s="8"/>
      <c r="K128" s="8"/>
      <c r="L128" s="7"/>
      <c r="M128" s="7"/>
      <c r="N128" s="7"/>
      <c r="O128" s="8"/>
      <c r="P128" s="8"/>
      <c r="Q128" s="8"/>
      <c r="R128" s="8"/>
      <c r="S128" s="7"/>
      <c r="T128" s="59"/>
      <c r="U128" s="7"/>
      <c r="V128" s="8"/>
      <c r="W128" s="7"/>
      <c r="X128" s="8"/>
      <c r="Y128" s="8"/>
      <c r="Z128" s="60">
        <f t="shared" si="3"/>
        <v>2.582844408275297E-2</v>
      </c>
      <c r="AA128" s="53">
        <f t="shared" si="4"/>
        <v>2.582844408275297E-2</v>
      </c>
      <c r="AB128">
        <f t="shared" si="5"/>
        <v>0.27464625399999998</v>
      </c>
    </row>
  </sheetData>
  <autoFilter ref="A1:AB128">
    <filterColumn colId="14">
      <customFilters>
        <customFilter operator="notEqual" val=" 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123"/>
  <sheetViews>
    <sheetView workbookViewId="0">
      <selection activeCell="C3" sqref="C3:E123"/>
    </sheetView>
  </sheetViews>
  <sheetFormatPr defaultRowHeight="15" x14ac:dyDescent="0.25"/>
  <cols>
    <col min="6" max="6" width="13.7109375" bestFit="1" customWidth="1"/>
  </cols>
  <sheetData>
    <row r="1" spans="1:19" ht="39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333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13</v>
      </c>
      <c r="P1" s="1" t="s">
        <v>14</v>
      </c>
      <c r="Q1" s="1" t="s">
        <v>15</v>
      </c>
      <c r="R1" s="1" t="s">
        <v>16</v>
      </c>
      <c r="S1" s="1" t="s">
        <v>17</v>
      </c>
    </row>
    <row r="2" spans="1:19" hidden="1" x14ac:dyDescent="0.25">
      <c r="A2" s="1"/>
      <c r="B2" s="2"/>
      <c r="C2" s="43">
        <f>DATE(2017,8,15)</f>
        <v>42962</v>
      </c>
      <c r="D2" s="43">
        <f>D3</f>
        <v>42794</v>
      </c>
      <c r="E2" s="1">
        <f>EXP(-F2*(YEARFRAC(D2,C2,2)))</f>
        <v>1.0011074231853729</v>
      </c>
      <c r="F2" s="44">
        <f>+F3</f>
        <v>-2.3717366671093839E-3</v>
      </c>
      <c r="G2" s="1"/>
      <c r="H2" s="1"/>
      <c r="I2" s="1"/>
      <c r="J2" s="1">
        <f>J3</f>
        <v>-0.35269600000000001</v>
      </c>
      <c r="K2" s="1"/>
      <c r="L2" s="1"/>
      <c r="M2" s="1"/>
      <c r="N2" s="1"/>
      <c r="O2" s="2"/>
      <c r="P2" s="1"/>
      <c r="Q2" s="1"/>
      <c r="R2" s="1"/>
      <c r="S2" s="1"/>
    </row>
    <row r="3" spans="1:19" x14ac:dyDescent="0.25">
      <c r="A3" s="3" t="s">
        <v>34</v>
      </c>
      <c r="B3" s="4">
        <v>0.51100000000000001</v>
      </c>
      <c r="C3" s="5">
        <v>42978</v>
      </c>
      <c r="D3" s="6">
        <v>42794</v>
      </c>
      <c r="E3" s="7">
        <v>1.001212956</v>
      </c>
      <c r="F3" s="45">
        <f>-LN(E3)/(YEARFRAC(D3,C3,2))</f>
        <v>-2.3717366671093839E-3</v>
      </c>
      <c r="G3" s="7">
        <v>-0.23703004499999999</v>
      </c>
      <c r="H3" s="7">
        <v>-0.23689270500000001</v>
      </c>
      <c r="I3" s="7">
        <v>-0.23702999999999999</v>
      </c>
      <c r="J3" s="7">
        <v>-0.35269600000000001</v>
      </c>
      <c r="K3" s="8" t="s">
        <v>19</v>
      </c>
      <c r="L3" s="8"/>
      <c r="M3" s="7">
        <v>0</v>
      </c>
      <c r="N3" s="7">
        <v>-0.23799999999999999</v>
      </c>
      <c r="O3" s="7">
        <v>-0.23799999999999999</v>
      </c>
      <c r="P3" s="8" t="s">
        <v>20</v>
      </c>
      <c r="Q3" s="8" t="s">
        <v>21</v>
      </c>
      <c r="R3" s="8" t="s">
        <v>22</v>
      </c>
      <c r="S3" s="8" t="s">
        <v>23</v>
      </c>
    </row>
    <row r="4" spans="1:19" x14ac:dyDescent="0.25">
      <c r="A4" s="3" t="s">
        <v>334</v>
      </c>
      <c r="B4" s="4">
        <v>0.76400000000000001</v>
      </c>
      <c r="C4" s="5">
        <v>43069</v>
      </c>
      <c r="D4" s="6">
        <v>42794</v>
      </c>
      <c r="E4" s="7">
        <v>1.001665346</v>
      </c>
      <c r="F4" s="45">
        <f t="shared" ref="F4:F67" si="0">-LN(E4)/(YEARFRAC(D4,C4,2))</f>
        <v>-2.1782760204751479E-3</v>
      </c>
      <c r="G4" s="7">
        <v>-0.217646535</v>
      </c>
      <c r="H4" s="7">
        <v>-0.217590591</v>
      </c>
      <c r="I4" s="7">
        <v>-0.21764700000000001</v>
      </c>
      <c r="J4" s="7">
        <v>-0.353852</v>
      </c>
      <c r="K4" s="8" t="s">
        <v>19</v>
      </c>
      <c r="L4" s="8"/>
      <c r="M4" s="7">
        <v>0</v>
      </c>
      <c r="N4" s="7">
        <v>-0.20799999999999999</v>
      </c>
      <c r="O4" s="7">
        <v>-0.20799999999999999</v>
      </c>
      <c r="P4" s="8" t="s">
        <v>335</v>
      </c>
      <c r="Q4" s="8" t="s">
        <v>336</v>
      </c>
      <c r="R4" s="8" t="s">
        <v>22</v>
      </c>
      <c r="S4" s="8" t="s">
        <v>23</v>
      </c>
    </row>
    <row r="5" spans="1:19" x14ac:dyDescent="0.25">
      <c r="A5" s="3" t="s">
        <v>337</v>
      </c>
      <c r="B5" s="4">
        <v>1.014</v>
      </c>
      <c r="C5" s="5">
        <v>43159</v>
      </c>
      <c r="D5" s="6">
        <v>42794</v>
      </c>
      <c r="E5" s="7">
        <v>1.002109742</v>
      </c>
      <c r="F5" s="45">
        <f t="shared" si="0"/>
        <v>-2.078649487789195E-3</v>
      </c>
      <c r="G5" s="7">
        <v>-0.207646051</v>
      </c>
      <c r="H5" s="7">
        <v>-0.207649047</v>
      </c>
      <c r="I5" s="7">
        <v>-0.207647</v>
      </c>
      <c r="J5" s="7">
        <v>-0.35400900000000002</v>
      </c>
      <c r="K5" s="8" t="s">
        <v>19</v>
      </c>
      <c r="L5" s="8"/>
      <c r="M5" s="7">
        <v>0</v>
      </c>
      <c r="N5" s="7">
        <v>-0.17799999999999999</v>
      </c>
      <c r="O5" s="7">
        <v>-0.17799999999999999</v>
      </c>
      <c r="P5" s="8" t="s">
        <v>335</v>
      </c>
      <c r="Q5" s="8" t="s">
        <v>336</v>
      </c>
      <c r="R5" s="8" t="s">
        <v>22</v>
      </c>
      <c r="S5" s="8" t="s">
        <v>23</v>
      </c>
    </row>
    <row r="6" spans="1:19" x14ac:dyDescent="0.25">
      <c r="A6" s="3" t="s">
        <v>338</v>
      </c>
      <c r="B6" s="4">
        <v>1.5249999999999999</v>
      </c>
      <c r="C6" s="5">
        <v>43343</v>
      </c>
      <c r="D6" s="6">
        <v>42794</v>
      </c>
      <c r="E6" s="7">
        <v>1.0027716799999999</v>
      </c>
      <c r="F6" s="45">
        <f t="shared" si="0"/>
        <v>-1.8149809690556854E-3</v>
      </c>
      <c r="G6" s="7">
        <v>-0.18124712400000001</v>
      </c>
      <c r="H6" s="7">
        <v>-0.181333464</v>
      </c>
      <c r="I6" s="7">
        <v>-0.181309</v>
      </c>
      <c r="J6" s="7">
        <v>-0.347914</v>
      </c>
      <c r="K6" s="8" t="s">
        <v>19</v>
      </c>
      <c r="L6" s="8"/>
      <c r="M6" s="7">
        <v>0</v>
      </c>
      <c r="N6" s="7">
        <v>-0.13</v>
      </c>
      <c r="O6" s="7">
        <v>-0.13</v>
      </c>
      <c r="P6" s="8" t="s">
        <v>335</v>
      </c>
      <c r="Q6" s="8" t="s">
        <v>336</v>
      </c>
      <c r="R6" s="8" t="s">
        <v>22</v>
      </c>
      <c r="S6" s="8" t="s">
        <v>23</v>
      </c>
    </row>
    <row r="7" spans="1:19" x14ac:dyDescent="0.25">
      <c r="A7" s="3" t="s">
        <v>339</v>
      </c>
      <c r="B7" s="4">
        <v>2.028</v>
      </c>
      <c r="C7" s="5">
        <v>43524</v>
      </c>
      <c r="D7" s="6">
        <v>42794</v>
      </c>
      <c r="E7" s="7">
        <v>1.0031650889999999</v>
      </c>
      <c r="F7" s="45">
        <f t="shared" si="0"/>
        <v>-1.5584008684187891E-3</v>
      </c>
      <c r="G7" s="7">
        <v>-0.15559410300000001</v>
      </c>
      <c r="H7" s="7">
        <v>-0.15571871000000001</v>
      </c>
      <c r="I7" s="7">
        <v>-0.15562100000000001</v>
      </c>
      <c r="J7" s="7">
        <v>-0.33702599999999999</v>
      </c>
      <c r="K7" s="8" t="s">
        <v>19</v>
      </c>
      <c r="L7" s="8"/>
      <c r="M7" s="7">
        <v>0</v>
      </c>
      <c r="N7" s="7">
        <v>-7.8E-2</v>
      </c>
      <c r="O7" s="7">
        <v>-7.8E-2</v>
      </c>
      <c r="P7" s="8" t="s">
        <v>335</v>
      </c>
      <c r="Q7" s="8" t="s">
        <v>336</v>
      </c>
      <c r="R7" s="8" t="s">
        <v>22</v>
      </c>
      <c r="S7" s="8" t="s">
        <v>23</v>
      </c>
    </row>
    <row r="8" spans="1:19" ht="21" hidden="1" x14ac:dyDescent="0.25">
      <c r="A8" s="3" t="s">
        <v>340</v>
      </c>
      <c r="B8" s="4">
        <v>2.536</v>
      </c>
      <c r="C8" s="5">
        <v>43707</v>
      </c>
      <c r="D8" s="6">
        <v>42794</v>
      </c>
      <c r="E8" s="7">
        <v>1.003145073</v>
      </c>
      <c r="F8" s="45">
        <f t="shared" si="0"/>
        <v>-1.2381703583763241E-3</v>
      </c>
      <c r="G8" s="7">
        <v>-0.123622843</v>
      </c>
      <c r="H8" s="7">
        <v>-0.123740419</v>
      </c>
      <c r="I8" s="7">
        <v>-0.123567</v>
      </c>
      <c r="J8" s="7">
        <v>-0.3175</v>
      </c>
      <c r="K8" s="8"/>
      <c r="L8" s="8"/>
      <c r="M8" s="7"/>
      <c r="N8" s="7"/>
      <c r="O8" s="7"/>
      <c r="P8" s="8"/>
      <c r="Q8" s="8"/>
      <c r="R8" s="8"/>
      <c r="S8" s="8"/>
    </row>
    <row r="9" spans="1:19" x14ac:dyDescent="0.25">
      <c r="A9" s="3" t="s">
        <v>47</v>
      </c>
      <c r="B9" s="4">
        <v>3.0419999999999998</v>
      </c>
      <c r="C9" s="5">
        <v>43889</v>
      </c>
      <c r="D9" s="6">
        <v>42794</v>
      </c>
      <c r="E9" s="7">
        <v>1.0027750719999999</v>
      </c>
      <c r="F9" s="45">
        <f t="shared" si="0"/>
        <v>-9.1108885365577693E-4</v>
      </c>
      <c r="G9" s="7">
        <v>-9.0982758999999996E-2</v>
      </c>
      <c r="H9" s="7">
        <v>-9.1067391999999997E-2</v>
      </c>
      <c r="I9" s="7">
        <v>-9.0791999999999998E-2</v>
      </c>
      <c r="J9" s="7">
        <v>-0.29809999999999998</v>
      </c>
      <c r="K9" s="8" t="s">
        <v>19</v>
      </c>
      <c r="L9" s="8" t="s">
        <v>187</v>
      </c>
      <c r="M9" s="7">
        <v>0</v>
      </c>
      <c r="N9" s="7">
        <v>-9.1999999999999998E-2</v>
      </c>
      <c r="O9" s="7">
        <v>-9.1999999999999998E-2</v>
      </c>
      <c r="P9" s="8" t="s">
        <v>42</v>
      </c>
      <c r="Q9" s="8" t="s">
        <v>43</v>
      </c>
      <c r="R9" s="8" t="s">
        <v>22</v>
      </c>
      <c r="S9" s="8" t="s">
        <v>341</v>
      </c>
    </row>
    <row r="10" spans="1:19" ht="21" hidden="1" x14ac:dyDescent="0.25">
      <c r="A10" s="3" t="s">
        <v>342</v>
      </c>
      <c r="B10" s="4">
        <v>3.556</v>
      </c>
      <c r="C10" s="5">
        <v>44074</v>
      </c>
      <c r="D10" s="6">
        <v>42794</v>
      </c>
      <c r="E10" s="7">
        <v>1.0017346110000001</v>
      </c>
      <c r="F10" s="45">
        <f t="shared" si="0"/>
        <v>-4.8743670932492036E-4</v>
      </c>
      <c r="G10" s="7">
        <v>-4.8701455999999997E-2</v>
      </c>
      <c r="H10" s="7">
        <v>-4.8731792000000003E-2</v>
      </c>
      <c r="I10" s="7">
        <v>-4.8349999999999997E-2</v>
      </c>
      <c r="J10" s="7">
        <v>-0.26667400000000002</v>
      </c>
      <c r="K10" s="8"/>
      <c r="L10" s="8"/>
      <c r="M10" s="7"/>
      <c r="N10" s="7"/>
      <c r="O10" s="7"/>
      <c r="P10" s="8"/>
      <c r="Q10" s="8"/>
      <c r="R10" s="8"/>
      <c r="S10" s="8"/>
    </row>
    <row r="11" spans="1:19" x14ac:dyDescent="0.25">
      <c r="A11" s="3" t="s">
        <v>48</v>
      </c>
      <c r="B11" s="4">
        <v>4.0529999999999999</v>
      </c>
      <c r="C11" s="5">
        <v>44253</v>
      </c>
      <c r="D11" s="6">
        <v>42794</v>
      </c>
      <c r="E11" s="7">
        <v>1.000300129</v>
      </c>
      <c r="F11" s="45">
        <f t="shared" si="0"/>
        <v>-7.4044022829643298E-5</v>
      </c>
      <c r="G11" s="7">
        <v>-7.4032949999999998E-3</v>
      </c>
      <c r="H11" s="7">
        <v>-7.4041319999999999E-3</v>
      </c>
      <c r="I11" s="7">
        <v>-6.8979999999999996E-3</v>
      </c>
      <c r="J11" s="7">
        <v>-0.23629800000000001</v>
      </c>
      <c r="K11" s="8" t="s">
        <v>19</v>
      </c>
      <c r="L11" s="8" t="s">
        <v>187</v>
      </c>
      <c r="M11" s="7">
        <v>0</v>
      </c>
      <c r="N11" s="7">
        <v>-7.0000000000000001E-3</v>
      </c>
      <c r="O11" s="7">
        <v>-7.0000000000000001E-3</v>
      </c>
      <c r="P11" s="8" t="s">
        <v>42</v>
      </c>
      <c r="Q11" s="8" t="s">
        <v>43</v>
      </c>
      <c r="R11" s="8" t="s">
        <v>22</v>
      </c>
      <c r="S11" s="8" t="s">
        <v>341</v>
      </c>
    </row>
    <row r="12" spans="1:19" ht="21" hidden="1" x14ac:dyDescent="0.25">
      <c r="A12" s="3" t="s">
        <v>343</v>
      </c>
      <c r="B12" s="4">
        <v>4.569</v>
      </c>
      <c r="C12" s="5">
        <v>44439</v>
      </c>
      <c r="D12" s="6">
        <v>42794</v>
      </c>
      <c r="E12" s="7">
        <v>0.99789478700000001</v>
      </c>
      <c r="F12" s="45">
        <f t="shared" si="0"/>
        <v>4.6120094061218302E-4</v>
      </c>
      <c r="G12" s="7">
        <v>4.6168727999999999E-2</v>
      </c>
      <c r="H12" s="7">
        <v>4.6130733E-2</v>
      </c>
      <c r="I12" s="7">
        <v>4.6705999999999998E-2</v>
      </c>
      <c r="J12" s="7">
        <v>-0.192885</v>
      </c>
      <c r="K12" s="8"/>
      <c r="L12" s="8"/>
      <c r="M12" s="7"/>
      <c r="N12" s="7"/>
      <c r="O12" s="7"/>
      <c r="P12" s="8"/>
      <c r="Q12" s="8"/>
      <c r="R12" s="8"/>
      <c r="S12" s="8"/>
    </row>
    <row r="13" spans="1:19" x14ac:dyDescent="0.25">
      <c r="A13" s="3" t="s">
        <v>49</v>
      </c>
      <c r="B13" s="4">
        <v>5.0720000000000001</v>
      </c>
      <c r="C13" s="5">
        <v>44620</v>
      </c>
      <c r="D13" s="6">
        <v>42794</v>
      </c>
      <c r="E13" s="7">
        <v>0.99514358800000002</v>
      </c>
      <c r="F13" s="45">
        <f t="shared" si="0"/>
        <v>9.5978497671063044E-4</v>
      </c>
      <c r="G13" s="7">
        <v>9.6212505000000004E-2</v>
      </c>
      <c r="H13" s="7">
        <v>9.6024576E-2</v>
      </c>
      <c r="I13" s="7">
        <v>9.6675999999999998E-2</v>
      </c>
      <c r="J13" s="7">
        <v>-0.15068300000000001</v>
      </c>
      <c r="K13" s="8" t="s">
        <v>19</v>
      </c>
      <c r="L13" s="8" t="s">
        <v>187</v>
      </c>
      <c r="M13" s="7">
        <v>0</v>
      </c>
      <c r="N13" s="7">
        <v>9.8000000000000004E-2</v>
      </c>
      <c r="O13" s="7">
        <v>9.8000000000000004E-2</v>
      </c>
      <c r="P13" s="8" t="s">
        <v>42</v>
      </c>
      <c r="Q13" s="8" t="s">
        <v>43</v>
      </c>
      <c r="R13" s="8" t="s">
        <v>22</v>
      </c>
      <c r="S13" s="8" t="s">
        <v>341</v>
      </c>
    </row>
    <row r="14" spans="1:19" ht="21" hidden="1" x14ac:dyDescent="0.25">
      <c r="A14" s="3" t="s">
        <v>344</v>
      </c>
      <c r="B14" s="4">
        <v>5.5830000000000002</v>
      </c>
      <c r="C14" s="5">
        <v>44804</v>
      </c>
      <c r="D14" s="6">
        <v>42794</v>
      </c>
      <c r="E14" s="7">
        <v>0.99151538900000002</v>
      </c>
      <c r="F14" s="45">
        <f t="shared" si="0"/>
        <v>1.5261152623607776E-3</v>
      </c>
      <c r="G14" s="7">
        <v>0.15326356699999999</v>
      </c>
      <c r="H14" s="7">
        <v>0.15272804000000001</v>
      </c>
      <c r="I14" s="7">
        <v>0.15326500000000001</v>
      </c>
      <c r="J14" s="7">
        <v>-9.7505999999999995E-2</v>
      </c>
      <c r="K14" s="8"/>
      <c r="L14" s="8"/>
      <c r="M14" s="7"/>
      <c r="N14" s="7"/>
      <c r="O14" s="7"/>
      <c r="P14" s="8"/>
      <c r="Q14" s="8"/>
      <c r="R14" s="8"/>
      <c r="S14" s="8"/>
    </row>
    <row r="15" spans="1:19" x14ac:dyDescent="0.25">
      <c r="A15" s="3" t="s">
        <v>50</v>
      </c>
      <c r="B15" s="4">
        <v>6.0860000000000003</v>
      </c>
      <c r="C15" s="5">
        <v>44985</v>
      </c>
      <c r="D15" s="6">
        <v>42794</v>
      </c>
      <c r="E15" s="7">
        <v>0.98750970299999996</v>
      </c>
      <c r="F15" s="45">
        <f t="shared" si="0"/>
        <v>2.0651868168167203E-3</v>
      </c>
      <c r="G15" s="7">
        <v>0.20782200100000001</v>
      </c>
      <c r="H15" s="7">
        <v>0.20673208100000001</v>
      </c>
      <c r="I15" s="7">
        <v>0.20715900000000001</v>
      </c>
      <c r="J15" s="7">
        <v>-4.5251E-2</v>
      </c>
      <c r="K15" s="8" t="s">
        <v>19</v>
      </c>
      <c r="L15" s="8" t="s">
        <v>187</v>
      </c>
      <c r="M15" s="7">
        <v>0</v>
      </c>
      <c r="N15" s="7">
        <v>0.21</v>
      </c>
      <c r="O15" s="7">
        <v>0.21</v>
      </c>
      <c r="P15" s="8" t="s">
        <v>42</v>
      </c>
      <c r="Q15" s="8" t="s">
        <v>43</v>
      </c>
      <c r="R15" s="8" t="s">
        <v>22</v>
      </c>
      <c r="S15" s="8" t="s">
        <v>341</v>
      </c>
    </row>
    <row r="16" spans="1:19" ht="21" hidden="1" x14ac:dyDescent="0.25">
      <c r="A16" s="3" t="s">
        <v>345</v>
      </c>
      <c r="B16" s="4">
        <v>6.5970000000000004</v>
      </c>
      <c r="C16" s="5">
        <v>45169</v>
      </c>
      <c r="D16" s="6">
        <v>42794</v>
      </c>
      <c r="E16" s="7">
        <v>0.98252596400000003</v>
      </c>
      <c r="F16" s="45">
        <f t="shared" si="0"/>
        <v>2.6721108568101555E-3</v>
      </c>
      <c r="G16" s="7">
        <v>0.269580247</v>
      </c>
      <c r="H16" s="7">
        <v>0.26756840700000001</v>
      </c>
      <c r="I16" s="7">
        <v>0.267567</v>
      </c>
      <c r="J16" s="7">
        <v>1.4748000000000001E-2</v>
      </c>
      <c r="K16" s="8"/>
      <c r="L16" s="8"/>
      <c r="M16" s="7"/>
      <c r="N16" s="7"/>
      <c r="O16" s="7"/>
      <c r="P16" s="8"/>
      <c r="Q16" s="8"/>
      <c r="R16" s="8"/>
      <c r="S16" s="8"/>
    </row>
    <row r="17" spans="1:19" x14ac:dyDescent="0.25">
      <c r="A17" s="3" t="s">
        <v>51</v>
      </c>
      <c r="B17" s="4">
        <v>7.1029999999999998</v>
      </c>
      <c r="C17" s="5">
        <v>45351</v>
      </c>
      <c r="D17" s="6">
        <v>42794</v>
      </c>
      <c r="E17" s="7">
        <v>0.97719341999999998</v>
      </c>
      <c r="F17" s="45">
        <f t="shared" si="0"/>
        <v>3.2481198014891704E-3</v>
      </c>
      <c r="G17" s="7">
        <v>0.328587772</v>
      </c>
      <c r="H17" s="7">
        <v>0.32534006199999999</v>
      </c>
      <c r="I17" s="7">
        <v>0.32491999999999999</v>
      </c>
      <c r="J17" s="7">
        <v>7.4034000000000003E-2</v>
      </c>
      <c r="K17" s="8" t="s">
        <v>19</v>
      </c>
      <c r="L17" s="8" t="s">
        <v>187</v>
      </c>
      <c r="M17" s="7">
        <v>0</v>
      </c>
      <c r="N17" s="7">
        <v>0.32900000000000001</v>
      </c>
      <c r="O17" s="7">
        <v>0.32900000000000001</v>
      </c>
      <c r="P17" s="8" t="s">
        <v>42</v>
      </c>
      <c r="Q17" s="8" t="s">
        <v>43</v>
      </c>
      <c r="R17" s="8" t="s">
        <v>22</v>
      </c>
      <c r="S17" s="8" t="s">
        <v>341</v>
      </c>
    </row>
    <row r="18" spans="1:19" ht="21" hidden="1" x14ac:dyDescent="0.25">
      <c r="A18" s="3" t="s">
        <v>346</v>
      </c>
      <c r="B18" s="4">
        <v>7.6109999999999998</v>
      </c>
      <c r="C18" s="5">
        <v>45534</v>
      </c>
      <c r="D18" s="6">
        <v>42794</v>
      </c>
      <c r="E18" s="7">
        <v>0.97096164900000004</v>
      </c>
      <c r="F18" s="45">
        <f t="shared" si="0"/>
        <v>3.8717484787818206E-3</v>
      </c>
      <c r="G18" s="7">
        <v>0.39293599400000001</v>
      </c>
      <c r="H18" s="7">
        <v>0.38792533899999998</v>
      </c>
      <c r="I18" s="7">
        <v>0.38664199999999999</v>
      </c>
      <c r="J18" s="7">
        <v>0.13683600000000001</v>
      </c>
      <c r="K18" s="8"/>
      <c r="L18" s="8"/>
      <c r="M18" s="7"/>
      <c r="N18" s="7"/>
      <c r="O18" s="7"/>
      <c r="P18" s="8"/>
      <c r="Q18" s="8"/>
      <c r="R18" s="8"/>
      <c r="S18" s="8"/>
    </row>
    <row r="19" spans="1:19" x14ac:dyDescent="0.25">
      <c r="A19" s="3" t="s">
        <v>52</v>
      </c>
      <c r="B19" s="4">
        <v>8.1170000000000009</v>
      </c>
      <c r="C19" s="5">
        <v>45716</v>
      </c>
      <c r="D19" s="6">
        <v>42794</v>
      </c>
      <c r="E19" s="7">
        <v>0.96445952599999996</v>
      </c>
      <c r="F19" s="45">
        <f t="shared" si="0"/>
        <v>4.4584079542450434E-3</v>
      </c>
      <c r="G19" s="7">
        <v>0.45400589899999999</v>
      </c>
      <c r="H19" s="7">
        <v>0.44683614199999999</v>
      </c>
      <c r="I19" s="7">
        <v>0.44473000000000001</v>
      </c>
      <c r="J19" s="7">
        <v>0.199244</v>
      </c>
      <c r="K19" s="8" t="s">
        <v>19</v>
      </c>
      <c r="L19" s="8" t="s">
        <v>187</v>
      </c>
      <c r="M19" s="7">
        <v>0</v>
      </c>
      <c r="N19" s="7">
        <v>0.45100000000000001</v>
      </c>
      <c r="O19" s="7">
        <v>0.45100000000000001</v>
      </c>
      <c r="P19" s="8" t="s">
        <v>42</v>
      </c>
      <c r="Q19" s="8" t="s">
        <v>43</v>
      </c>
      <c r="R19" s="8" t="s">
        <v>22</v>
      </c>
      <c r="S19" s="8" t="s">
        <v>341</v>
      </c>
    </row>
    <row r="20" spans="1:19" ht="21" hidden="1" x14ac:dyDescent="0.25">
      <c r="A20" s="3" t="s">
        <v>347</v>
      </c>
      <c r="B20" s="4">
        <v>8.6219999999999999</v>
      </c>
      <c r="C20" s="5">
        <v>45898</v>
      </c>
      <c r="D20" s="6">
        <v>42794</v>
      </c>
      <c r="E20" s="7">
        <v>0.95727160899999997</v>
      </c>
      <c r="F20" s="45">
        <f t="shared" si="0"/>
        <v>5.0646009478573801E-3</v>
      </c>
      <c r="G20" s="7">
        <v>0.51768091299999996</v>
      </c>
      <c r="H20" s="7">
        <v>0.50774477600000001</v>
      </c>
      <c r="I20" s="7">
        <v>0.50430799999999998</v>
      </c>
      <c r="J20" s="7">
        <v>0.25985999999999998</v>
      </c>
      <c r="K20" s="8"/>
      <c r="L20" s="8"/>
      <c r="M20" s="7"/>
      <c r="N20" s="7"/>
      <c r="O20" s="7"/>
      <c r="P20" s="8"/>
      <c r="Q20" s="8"/>
      <c r="R20" s="8"/>
      <c r="S20" s="8"/>
    </row>
    <row r="21" spans="1:19" x14ac:dyDescent="0.25">
      <c r="A21" s="3" t="s">
        <v>53</v>
      </c>
      <c r="B21" s="4">
        <v>9.1280000000000001</v>
      </c>
      <c r="C21" s="5">
        <v>46080</v>
      </c>
      <c r="D21" s="6">
        <v>42794</v>
      </c>
      <c r="E21" s="7">
        <v>0.94989288900000002</v>
      </c>
      <c r="F21" s="45">
        <f t="shared" si="0"/>
        <v>5.6318252280786064E-3</v>
      </c>
      <c r="G21" s="7">
        <v>0.57790928200000002</v>
      </c>
      <c r="H21" s="7">
        <v>0.56477137799999999</v>
      </c>
      <c r="I21" s="7">
        <v>0.56011100000000003</v>
      </c>
      <c r="J21" s="7">
        <v>0.32045299999999999</v>
      </c>
      <c r="K21" s="8" t="s">
        <v>19</v>
      </c>
      <c r="L21" s="8" t="s">
        <v>187</v>
      </c>
      <c r="M21" s="7">
        <v>0</v>
      </c>
      <c r="N21" s="7">
        <v>0.56799999999999995</v>
      </c>
      <c r="O21" s="7">
        <v>0.56799999999999995</v>
      </c>
      <c r="P21" s="8" t="s">
        <v>42</v>
      </c>
      <c r="Q21" s="8" t="s">
        <v>43</v>
      </c>
      <c r="R21" s="8" t="s">
        <v>22</v>
      </c>
      <c r="S21" s="8" t="s">
        <v>341</v>
      </c>
    </row>
    <row r="22" spans="1:19" ht="21" hidden="1" x14ac:dyDescent="0.25">
      <c r="A22" s="3" t="s">
        <v>348</v>
      </c>
      <c r="B22" s="4">
        <v>9.6419999999999995</v>
      </c>
      <c r="C22" s="5">
        <v>46265</v>
      </c>
      <c r="D22" s="6">
        <v>42794</v>
      </c>
      <c r="E22" s="7">
        <v>0.941929562</v>
      </c>
      <c r="F22" s="45">
        <f t="shared" si="0"/>
        <v>6.2048175089176646E-3</v>
      </c>
      <c r="G22" s="7">
        <v>0.63941756599999999</v>
      </c>
      <c r="H22" s="7">
        <v>0.62241072900000005</v>
      </c>
      <c r="I22" s="7">
        <v>0.61599499999999996</v>
      </c>
      <c r="J22" s="7">
        <v>0.37853599999999998</v>
      </c>
      <c r="K22" s="8"/>
      <c r="L22" s="8"/>
      <c r="M22" s="7"/>
      <c r="N22" s="7"/>
      <c r="O22" s="7"/>
      <c r="P22" s="8"/>
      <c r="Q22" s="8"/>
      <c r="R22" s="8"/>
      <c r="S22" s="8"/>
    </row>
    <row r="23" spans="1:19" x14ac:dyDescent="0.25">
      <c r="A23" s="3" t="s">
        <v>54</v>
      </c>
      <c r="B23" s="4">
        <v>10.138999999999999</v>
      </c>
      <c r="C23" s="5">
        <v>46444</v>
      </c>
      <c r="D23" s="6">
        <v>42794</v>
      </c>
      <c r="E23" s="7">
        <v>0.93410769199999999</v>
      </c>
      <c r="F23" s="45">
        <f t="shared" si="0"/>
        <v>6.7229798274597566E-3</v>
      </c>
      <c r="G23" s="7">
        <v>0.69574069400000005</v>
      </c>
      <c r="H23" s="7">
        <v>0.67456297600000004</v>
      </c>
      <c r="I23" s="7">
        <v>0.66661599999999999</v>
      </c>
      <c r="J23" s="7">
        <v>0.43473800000000001</v>
      </c>
      <c r="K23" s="8" t="s">
        <v>19</v>
      </c>
      <c r="L23" s="8" t="s">
        <v>187</v>
      </c>
      <c r="M23" s="7">
        <v>0</v>
      </c>
      <c r="N23" s="7">
        <v>0.67600000000000005</v>
      </c>
      <c r="O23" s="7">
        <v>0.67600000000000005</v>
      </c>
      <c r="P23" s="8" t="s">
        <v>42</v>
      </c>
      <c r="Q23" s="8" t="s">
        <v>43</v>
      </c>
      <c r="R23" s="8" t="s">
        <v>22</v>
      </c>
      <c r="S23" s="8" t="s">
        <v>341</v>
      </c>
    </row>
    <row r="24" spans="1:19" ht="21" hidden="1" x14ac:dyDescent="0.25">
      <c r="A24" s="3" t="s">
        <v>349</v>
      </c>
      <c r="B24" s="4">
        <v>10.656000000000001</v>
      </c>
      <c r="C24" s="5">
        <v>46630</v>
      </c>
      <c r="D24" s="6">
        <v>42794</v>
      </c>
      <c r="E24" s="7">
        <v>0.92562652300000003</v>
      </c>
      <c r="F24" s="45">
        <f t="shared" si="0"/>
        <v>7.2529722344121554E-3</v>
      </c>
      <c r="G24" s="7">
        <v>0.75406051399999996</v>
      </c>
      <c r="H24" s="7">
        <v>0.72793387799999998</v>
      </c>
      <c r="I24" s="7">
        <v>0.717889</v>
      </c>
      <c r="J24" s="7">
        <v>0.48797400000000002</v>
      </c>
      <c r="K24" s="8"/>
      <c r="L24" s="8"/>
      <c r="M24" s="7"/>
      <c r="N24" s="7"/>
      <c r="O24" s="7"/>
      <c r="P24" s="8"/>
      <c r="Q24" s="8"/>
      <c r="R24" s="8"/>
      <c r="S24" s="8"/>
    </row>
    <row r="25" spans="1:19" x14ac:dyDescent="0.25">
      <c r="A25" s="3" t="s">
        <v>55</v>
      </c>
      <c r="B25" s="4">
        <v>11.161</v>
      </c>
      <c r="C25" s="5">
        <v>46812</v>
      </c>
      <c r="D25" s="6">
        <v>42794</v>
      </c>
      <c r="E25" s="7">
        <v>0.91730497600000005</v>
      </c>
      <c r="F25" s="45">
        <f t="shared" si="0"/>
        <v>7.7335742836205298E-3</v>
      </c>
      <c r="G25" s="7">
        <v>0.80771508800000003</v>
      </c>
      <c r="H25" s="7">
        <v>0.77635555899999997</v>
      </c>
      <c r="I25" s="7">
        <v>0.76450700000000005</v>
      </c>
      <c r="J25" s="7">
        <v>0.54010199999999997</v>
      </c>
      <c r="K25" s="8" t="s">
        <v>19</v>
      </c>
      <c r="L25" s="8" t="s">
        <v>187</v>
      </c>
      <c r="M25" s="7">
        <v>0</v>
      </c>
      <c r="N25" s="7">
        <v>0.77500000000000002</v>
      </c>
      <c r="O25" s="7">
        <v>0.77500000000000002</v>
      </c>
      <c r="P25" s="8" t="s">
        <v>42</v>
      </c>
      <c r="Q25" s="8" t="s">
        <v>43</v>
      </c>
      <c r="R25" s="8" t="s">
        <v>22</v>
      </c>
      <c r="S25" s="8" t="s">
        <v>341</v>
      </c>
    </row>
    <row r="26" spans="1:19" ht="21" hidden="1" x14ac:dyDescent="0.25">
      <c r="A26" s="3" t="s">
        <v>350</v>
      </c>
      <c r="B26" s="4">
        <v>11.672000000000001</v>
      </c>
      <c r="C26" s="5">
        <v>46996</v>
      </c>
      <c r="D26" s="6">
        <v>42794</v>
      </c>
      <c r="E26" s="7">
        <v>0.90878307300000005</v>
      </c>
      <c r="F26" s="45">
        <f t="shared" si="0"/>
        <v>8.1945712673992394E-3</v>
      </c>
      <c r="G26" s="7">
        <v>0.85992715399999997</v>
      </c>
      <c r="H26" s="7">
        <v>0.82282387099999998</v>
      </c>
      <c r="I26" s="7">
        <v>0.80875399999999997</v>
      </c>
      <c r="J26" s="7">
        <v>0.58670199999999995</v>
      </c>
      <c r="K26" s="8"/>
      <c r="L26" s="8"/>
      <c r="M26" s="7"/>
      <c r="N26" s="7"/>
      <c r="O26" s="7"/>
      <c r="P26" s="8"/>
      <c r="Q26" s="8"/>
      <c r="R26" s="8"/>
      <c r="S26" s="8"/>
    </row>
    <row r="27" spans="1:19" x14ac:dyDescent="0.25">
      <c r="A27" s="3" t="s">
        <v>56</v>
      </c>
      <c r="B27" s="4">
        <v>12.175000000000001</v>
      </c>
      <c r="C27" s="5">
        <v>47177</v>
      </c>
      <c r="D27" s="6">
        <v>42794</v>
      </c>
      <c r="E27" s="7">
        <v>0.90035686400000003</v>
      </c>
      <c r="F27" s="45">
        <f t="shared" si="0"/>
        <v>8.6212795641715904E-3</v>
      </c>
      <c r="G27" s="7">
        <v>0.90899969400000002</v>
      </c>
      <c r="H27" s="7">
        <v>0.86585498100000002</v>
      </c>
      <c r="I27" s="7">
        <v>0.84987299999999999</v>
      </c>
      <c r="J27" s="7">
        <v>0.63258300000000001</v>
      </c>
      <c r="K27" s="8" t="s">
        <v>19</v>
      </c>
      <c r="L27" s="8" t="s">
        <v>187</v>
      </c>
      <c r="M27" s="7">
        <v>0</v>
      </c>
      <c r="N27" s="7">
        <v>0.86199999999999999</v>
      </c>
      <c r="O27" s="7">
        <v>0.86199999999999999</v>
      </c>
      <c r="P27" s="8" t="s">
        <v>42</v>
      </c>
      <c r="Q27" s="8" t="s">
        <v>43</v>
      </c>
      <c r="R27" s="8" t="s">
        <v>22</v>
      </c>
      <c r="S27" s="8" t="s">
        <v>341</v>
      </c>
    </row>
    <row r="28" spans="1:19" ht="21" hidden="1" x14ac:dyDescent="0.25">
      <c r="A28" s="3" t="s">
        <v>351</v>
      </c>
      <c r="B28" s="4">
        <v>12.686</v>
      </c>
      <c r="C28" s="5">
        <v>47361</v>
      </c>
      <c r="D28" s="6">
        <v>42794</v>
      </c>
      <c r="E28" s="7">
        <v>0.89174027499999997</v>
      </c>
      <c r="F28" s="45">
        <f t="shared" si="0"/>
        <v>9.0319530801756202E-3</v>
      </c>
      <c r="G28" s="7">
        <v>0.95697375500000004</v>
      </c>
      <c r="H28" s="7">
        <v>0.90728642500000001</v>
      </c>
      <c r="I28" s="7">
        <v>0.88902000000000003</v>
      </c>
      <c r="J28" s="7">
        <v>0.66825199999999996</v>
      </c>
      <c r="K28" s="8"/>
      <c r="L28" s="8"/>
      <c r="M28" s="7"/>
      <c r="N28" s="7"/>
      <c r="O28" s="7"/>
      <c r="P28" s="8"/>
      <c r="Q28" s="8"/>
      <c r="R28" s="8"/>
      <c r="S28" s="8"/>
    </row>
    <row r="29" spans="1:19" x14ac:dyDescent="0.25">
      <c r="A29" s="3" t="s">
        <v>352</v>
      </c>
      <c r="B29" s="4">
        <v>13.189</v>
      </c>
      <c r="C29" s="5">
        <v>47542</v>
      </c>
      <c r="D29" s="6">
        <v>42794</v>
      </c>
      <c r="E29" s="7">
        <v>0.88333648600000003</v>
      </c>
      <c r="F29" s="45">
        <f t="shared" si="0"/>
        <v>9.4055746973689732E-3</v>
      </c>
      <c r="G29" s="7">
        <v>1.001384066</v>
      </c>
      <c r="H29" s="7">
        <v>0.94499461500000004</v>
      </c>
      <c r="I29" s="7">
        <v>0.92489100000000002</v>
      </c>
      <c r="J29" s="7">
        <v>0.70341100000000001</v>
      </c>
      <c r="K29" s="8" t="s">
        <v>19</v>
      </c>
      <c r="L29" s="8" t="s">
        <v>187</v>
      </c>
      <c r="M29" s="7">
        <v>0</v>
      </c>
      <c r="N29" s="7">
        <v>0.93799999999999994</v>
      </c>
      <c r="O29" s="7">
        <v>0.93799999999999994</v>
      </c>
      <c r="P29" s="8" t="s">
        <v>42</v>
      </c>
      <c r="Q29" s="8" t="s">
        <v>43</v>
      </c>
      <c r="R29" s="8" t="s">
        <v>22</v>
      </c>
      <c r="S29" s="8" t="s">
        <v>341</v>
      </c>
    </row>
    <row r="30" spans="1:19" ht="21" hidden="1" x14ac:dyDescent="0.25">
      <c r="A30" s="3" t="s">
        <v>353</v>
      </c>
      <c r="B30" s="4">
        <v>13.696999999999999</v>
      </c>
      <c r="C30" s="5">
        <v>47725</v>
      </c>
      <c r="D30" s="6">
        <v>42794</v>
      </c>
      <c r="E30" s="7">
        <v>0.87491212200000001</v>
      </c>
      <c r="F30" s="45">
        <f t="shared" si="0"/>
        <v>9.7561262787538641E-3</v>
      </c>
      <c r="G30" s="7">
        <v>1.043802398</v>
      </c>
      <c r="H30" s="7">
        <v>0.98038724399999999</v>
      </c>
      <c r="I30" s="7">
        <v>0.95809900000000003</v>
      </c>
      <c r="J30" s="7">
        <v>0.73899700000000001</v>
      </c>
      <c r="K30" s="8"/>
      <c r="L30" s="8"/>
      <c r="M30" s="7"/>
      <c r="N30" s="7"/>
      <c r="O30" s="7"/>
      <c r="P30" s="8"/>
      <c r="Q30" s="8"/>
      <c r="R30" s="8"/>
      <c r="S30" s="8"/>
    </row>
    <row r="31" spans="1:19" x14ac:dyDescent="0.25">
      <c r="A31" s="3" t="s">
        <v>354</v>
      </c>
      <c r="B31" s="4">
        <v>14.202999999999999</v>
      </c>
      <c r="C31" s="5">
        <v>47907</v>
      </c>
      <c r="D31" s="6">
        <v>42794</v>
      </c>
      <c r="E31" s="7">
        <v>0.86661348000000005</v>
      </c>
      <c r="F31" s="45">
        <f t="shared" si="0"/>
        <v>1.0079874303082317E-2</v>
      </c>
      <c r="G31" s="7">
        <v>1.0837103239999999</v>
      </c>
      <c r="H31" s="7">
        <v>1.0130847380000001</v>
      </c>
      <c r="I31" s="7">
        <v>0.98899400000000004</v>
      </c>
      <c r="J31" s="7">
        <v>0.77446499999999996</v>
      </c>
      <c r="K31" s="8" t="s">
        <v>19</v>
      </c>
      <c r="L31" s="8" t="s">
        <v>187</v>
      </c>
      <c r="M31" s="7">
        <v>0</v>
      </c>
      <c r="N31" s="7">
        <v>1.0029999999999999</v>
      </c>
      <c r="O31" s="7">
        <v>1.0029999999999999</v>
      </c>
      <c r="P31" s="8" t="s">
        <v>42</v>
      </c>
      <c r="Q31" s="8" t="s">
        <v>43</v>
      </c>
      <c r="R31" s="8" t="s">
        <v>22</v>
      </c>
      <c r="S31" s="8" t="s">
        <v>341</v>
      </c>
    </row>
    <row r="32" spans="1:19" ht="21" hidden="1" x14ac:dyDescent="0.25">
      <c r="A32" s="3" t="s">
        <v>355</v>
      </c>
      <c r="B32" s="4">
        <v>14.708</v>
      </c>
      <c r="C32" s="5">
        <v>48089</v>
      </c>
      <c r="D32" s="6">
        <v>42794</v>
      </c>
      <c r="E32" s="7">
        <v>0.85843560600000002</v>
      </c>
      <c r="F32" s="45">
        <f t="shared" si="0"/>
        <v>1.037803574135937E-2</v>
      </c>
      <c r="G32" s="7">
        <v>1.1211993810000001</v>
      </c>
      <c r="H32" s="7">
        <v>1.043207437</v>
      </c>
      <c r="I32" s="7">
        <v>1.0170600000000001</v>
      </c>
      <c r="J32" s="7">
        <v>0.810006</v>
      </c>
      <c r="K32" s="8"/>
      <c r="L32" s="8"/>
      <c r="M32" s="7"/>
      <c r="N32" s="7"/>
      <c r="O32" s="7"/>
      <c r="P32" s="8"/>
      <c r="Q32" s="8"/>
      <c r="R32" s="8"/>
      <c r="S32" s="8"/>
    </row>
    <row r="33" spans="1:19" x14ac:dyDescent="0.25">
      <c r="A33" s="3" t="s">
        <v>59</v>
      </c>
      <c r="B33" s="4">
        <v>15.214</v>
      </c>
      <c r="C33" s="5">
        <v>48271</v>
      </c>
      <c r="D33" s="6">
        <v>42794</v>
      </c>
      <c r="E33" s="7">
        <v>0.85037110299999996</v>
      </c>
      <c r="F33" s="45">
        <f t="shared" si="0"/>
        <v>1.0653583327396052E-2</v>
      </c>
      <c r="G33" s="7">
        <v>1.1565562</v>
      </c>
      <c r="H33" s="7">
        <v>1.071053483</v>
      </c>
      <c r="I33" s="7">
        <v>1.043191</v>
      </c>
      <c r="J33" s="7">
        <v>0.84562599999999999</v>
      </c>
      <c r="K33" s="8" t="s">
        <v>19</v>
      </c>
      <c r="L33" s="8" t="s">
        <v>187</v>
      </c>
      <c r="M33" s="7">
        <v>0</v>
      </c>
      <c r="N33" s="7">
        <v>1.0580000000000001</v>
      </c>
      <c r="O33" s="7">
        <v>1.0580000000000001</v>
      </c>
      <c r="P33" s="8" t="s">
        <v>42</v>
      </c>
      <c r="Q33" s="8" t="s">
        <v>43</v>
      </c>
      <c r="R33" s="8" t="s">
        <v>22</v>
      </c>
      <c r="S33" s="8" t="s">
        <v>341</v>
      </c>
    </row>
    <row r="34" spans="1:19" ht="21" hidden="1" x14ac:dyDescent="0.25">
      <c r="A34" s="3" t="s">
        <v>356</v>
      </c>
      <c r="B34" s="4">
        <v>15.731</v>
      </c>
      <c r="C34" s="5">
        <v>48457</v>
      </c>
      <c r="D34" s="6">
        <v>42794</v>
      </c>
      <c r="E34" s="7">
        <v>0.84227320000000006</v>
      </c>
      <c r="F34" s="45">
        <f t="shared" si="0"/>
        <v>1.0911938310313474E-2</v>
      </c>
      <c r="G34" s="7">
        <v>1.190442574</v>
      </c>
      <c r="H34" s="7">
        <v>1.0971690670000001</v>
      </c>
      <c r="I34" s="7">
        <v>1.067415</v>
      </c>
      <c r="J34" s="7">
        <v>0.86515699999999995</v>
      </c>
      <c r="K34" s="8"/>
      <c r="L34" s="8"/>
      <c r="M34" s="7"/>
      <c r="N34" s="7"/>
      <c r="O34" s="7"/>
      <c r="P34" s="8"/>
      <c r="Q34" s="8"/>
      <c r="R34" s="8"/>
      <c r="S34" s="8"/>
    </row>
    <row r="35" spans="1:19" x14ac:dyDescent="0.25">
      <c r="A35" s="3" t="s">
        <v>357</v>
      </c>
      <c r="B35" s="4">
        <v>16.233000000000001</v>
      </c>
      <c r="C35" s="5">
        <v>48638</v>
      </c>
      <c r="D35" s="6">
        <v>42794</v>
      </c>
      <c r="E35" s="7">
        <v>0.83451795299999998</v>
      </c>
      <c r="F35" s="45">
        <f t="shared" si="0"/>
        <v>1.1143800162045123E-2</v>
      </c>
      <c r="G35" s="7">
        <v>1.2215394369999999</v>
      </c>
      <c r="H35" s="7">
        <v>1.1206123560000001</v>
      </c>
      <c r="I35" s="7">
        <v>1.089456</v>
      </c>
      <c r="J35" s="7">
        <v>0.88422500000000004</v>
      </c>
      <c r="K35" s="8" t="s">
        <v>19</v>
      </c>
      <c r="L35" s="8" t="s">
        <v>187</v>
      </c>
      <c r="M35" s="7">
        <v>0</v>
      </c>
      <c r="N35" s="7">
        <v>1.105</v>
      </c>
      <c r="O35" s="7">
        <v>1.105</v>
      </c>
      <c r="P35" s="8" t="s">
        <v>42</v>
      </c>
      <c r="Q35" s="8" t="s">
        <v>43</v>
      </c>
      <c r="R35" s="8" t="s">
        <v>22</v>
      </c>
      <c r="S35" s="8" t="s">
        <v>341</v>
      </c>
    </row>
    <row r="36" spans="1:19" ht="21" hidden="1" x14ac:dyDescent="0.25">
      <c r="A36" s="3" t="s">
        <v>358</v>
      </c>
      <c r="B36" s="4">
        <v>16.744</v>
      </c>
      <c r="C36" s="5">
        <v>48822</v>
      </c>
      <c r="D36" s="6">
        <v>42794</v>
      </c>
      <c r="E36" s="7">
        <v>0.82680202400000002</v>
      </c>
      <c r="F36" s="45">
        <f t="shared" si="0"/>
        <v>1.1358394350811861E-2</v>
      </c>
      <c r="G36" s="7">
        <v>1.2510381079999999</v>
      </c>
      <c r="H36" s="7">
        <v>1.142314584</v>
      </c>
      <c r="I36" s="7">
        <v>1.1095539999999999</v>
      </c>
      <c r="J36" s="7">
        <v>0.90364999999999995</v>
      </c>
      <c r="K36" s="8"/>
      <c r="L36" s="8"/>
      <c r="M36" s="7"/>
      <c r="N36" s="7"/>
      <c r="O36" s="7"/>
      <c r="P36" s="8"/>
      <c r="Q36" s="8"/>
      <c r="R36" s="8"/>
      <c r="S36" s="8"/>
    </row>
    <row r="37" spans="1:19" x14ac:dyDescent="0.25">
      <c r="A37" s="3" t="s">
        <v>359</v>
      </c>
      <c r="B37" s="4">
        <v>17.247</v>
      </c>
      <c r="C37" s="5">
        <v>49003</v>
      </c>
      <c r="D37" s="6">
        <v>42794</v>
      </c>
      <c r="E37" s="7">
        <v>0.81935107399999996</v>
      </c>
      <c r="F37" s="45">
        <f t="shared" si="0"/>
        <v>1.1552157363572785E-2</v>
      </c>
      <c r="G37" s="7">
        <v>1.278339471</v>
      </c>
      <c r="H37" s="7">
        <v>1.161914125</v>
      </c>
      <c r="I37" s="7">
        <v>1.1279600000000001</v>
      </c>
      <c r="J37" s="7">
        <v>0.92280499999999999</v>
      </c>
      <c r="K37" s="8" t="s">
        <v>19</v>
      </c>
      <c r="L37" s="8" t="s">
        <v>187</v>
      </c>
      <c r="M37" s="7">
        <v>0</v>
      </c>
      <c r="N37" s="7">
        <v>1.1439999999999999</v>
      </c>
      <c r="O37" s="7">
        <v>1.1439999999999999</v>
      </c>
      <c r="P37" s="8" t="s">
        <v>42</v>
      </c>
      <c r="Q37" s="8" t="s">
        <v>43</v>
      </c>
      <c r="R37" s="8" t="s">
        <v>22</v>
      </c>
      <c r="S37" s="8" t="s">
        <v>341</v>
      </c>
    </row>
    <row r="38" spans="1:19" ht="21" hidden="1" x14ac:dyDescent="0.25">
      <c r="A38" s="3" t="s">
        <v>360</v>
      </c>
      <c r="B38" s="4">
        <v>17.757999999999999</v>
      </c>
      <c r="C38" s="5">
        <v>49187</v>
      </c>
      <c r="D38" s="6">
        <v>42794</v>
      </c>
      <c r="E38" s="7">
        <v>0.81198546400000005</v>
      </c>
      <c r="F38" s="45">
        <f t="shared" si="0"/>
        <v>1.1728174967162362E-2</v>
      </c>
      <c r="G38" s="7">
        <v>1.3038900419999999</v>
      </c>
      <c r="H38" s="7">
        <v>1.179721966</v>
      </c>
      <c r="I38" s="7">
        <v>1.144434</v>
      </c>
      <c r="J38" s="7">
        <v>0.94232400000000005</v>
      </c>
      <c r="K38" s="8"/>
      <c r="L38" s="8"/>
      <c r="M38" s="7"/>
      <c r="N38" s="7"/>
      <c r="O38" s="7"/>
      <c r="P38" s="8"/>
      <c r="Q38" s="8"/>
      <c r="R38" s="8"/>
      <c r="S38" s="8"/>
    </row>
    <row r="39" spans="1:19" x14ac:dyDescent="0.25">
      <c r="A39" s="3" t="s">
        <v>361</v>
      </c>
      <c r="B39" s="4">
        <v>18.260999999999999</v>
      </c>
      <c r="C39" s="5">
        <v>49368</v>
      </c>
      <c r="D39" s="6">
        <v>42794</v>
      </c>
      <c r="E39" s="7">
        <v>0.80487672399999999</v>
      </c>
      <c r="F39" s="45">
        <f t="shared" si="0"/>
        <v>1.1886798665087829E-2</v>
      </c>
      <c r="G39" s="7">
        <v>1.3275549680000001</v>
      </c>
      <c r="H39" s="7">
        <v>1.195772743</v>
      </c>
      <c r="I39" s="7">
        <v>1.1595249999999999</v>
      </c>
      <c r="J39" s="7">
        <v>0.96158200000000005</v>
      </c>
      <c r="K39" s="8" t="s">
        <v>19</v>
      </c>
      <c r="L39" s="8" t="s">
        <v>187</v>
      </c>
      <c r="M39" s="7">
        <v>0</v>
      </c>
      <c r="N39" s="7">
        <v>1.1759999999999999</v>
      </c>
      <c r="O39" s="7">
        <v>1.1759999999999999</v>
      </c>
      <c r="P39" s="8" t="s">
        <v>42</v>
      </c>
      <c r="Q39" s="8" t="s">
        <v>43</v>
      </c>
      <c r="R39" s="8" t="s">
        <v>22</v>
      </c>
      <c r="S39" s="8" t="s">
        <v>341</v>
      </c>
    </row>
    <row r="40" spans="1:19" ht="21" hidden="1" x14ac:dyDescent="0.25">
      <c r="A40" s="3" t="s">
        <v>362</v>
      </c>
      <c r="B40" s="4">
        <v>18.771999999999998</v>
      </c>
      <c r="C40" s="5">
        <v>49552</v>
      </c>
      <c r="D40" s="6">
        <v>42794</v>
      </c>
      <c r="E40" s="7">
        <v>0.79786005699999996</v>
      </c>
      <c r="F40" s="45">
        <f t="shared" si="0"/>
        <v>1.2029586130274111E-2</v>
      </c>
      <c r="G40" s="7">
        <v>1.349614476</v>
      </c>
      <c r="H40" s="7">
        <v>1.2102232589999999</v>
      </c>
      <c r="I40" s="7">
        <v>1.172901</v>
      </c>
      <c r="J40" s="7">
        <v>0.98119900000000004</v>
      </c>
      <c r="K40" s="8"/>
      <c r="L40" s="8"/>
      <c r="M40" s="7"/>
      <c r="N40" s="7"/>
      <c r="O40" s="7"/>
      <c r="P40" s="8"/>
      <c r="Q40" s="8"/>
      <c r="R40" s="8"/>
      <c r="S40" s="8"/>
    </row>
    <row r="41" spans="1:19" x14ac:dyDescent="0.25">
      <c r="A41" s="3" t="s">
        <v>363</v>
      </c>
      <c r="B41" s="4">
        <v>19.277999999999999</v>
      </c>
      <c r="C41" s="5">
        <v>49734</v>
      </c>
      <c r="D41" s="6">
        <v>42794</v>
      </c>
      <c r="E41" s="7">
        <v>0.79105335799999998</v>
      </c>
      <c r="F41" s="45">
        <f t="shared" si="0"/>
        <v>1.2158551665401453E-2</v>
      </c>
      <c r="G41" s="7">
        <v>1.370164299</v>
      </c>
      <c r="H41" s="7">
        <v>1.223276732</v>
      </c>
      <c r="I41" s="7">
        <v>1.185211</v>
      </c>
      <c r="J41" s="7">
        <v>1.000664</v>
      </c>
      <c r="K41" s="8" t="s">
        <v>19</v>
      </c>
      <c r="L41" s="8" t="s">
        <v>187</v>
      </c>
      <c r="M41" s="7">
        <v>0</v>
      </c>
      <c r="N41" s="7">
        <v>1.202</v>
      </c>
      <c r="O41" s="7">
        <v>1.202</v>
      </c>
      <c r="P41" s="8" t="s">
        <v>42</v>
      </c>
      <c r="Q41" s="8" t="s">
        <v>43</v>
      </c>
      <c r="R41" s="8" t="s">
        <v>22</v>
      </c>
      <c r="S41" s="8" t="s">
        <v>341</v>
      </c>
    </row>
    <row r="42" spans="1:19" ht="21" hidden="1" x14ac:dyDescent="0.25">
      <c r="A42" s="3" t="s">
        <v>364</v>
      </c>
      <c r="B42" s="4">
        <v>19.783000000000001</v>
      </c>
      <c r="C42" s="5">
        <v>49916</v>
      </c>
      <c r="D42" s="6">
        <v>42794</v>
      </c>
      <c r="E42" s="7">
        <v>0.78445161900000004</v>
      </c>
      <c r="F42" s="45">
        <f t="shared" si="0"/>
        <v>1.2271459806515533E-2</v>
      </c>
      <c r="G42" s="7">
        <v>1.3889260800000001</v>
      </c>
      <c r="H42" s="7">
        <v>1.23470631</v>
      </c>
      <c r="I42" s="7">
        <v>1.1958150000000001</v>
      </c>
      <c r="J42" s="7">
        <v>1.020167</v>
      </c>
      <c r="K42" s="8"/>
      <c r="L42" s="8"/>
      <c r="M42" s="7"/>
      <c r="N42" s="7"/>
      <c r="O42" s="7"/>
      <c r="P42" s="8"/>
      <c r="Q42" s="8"/>
      <c r="R42" s="8"/>
      <c r="S42" s="8"/>
    </row>
    <row r="43" spans="1:19" x14ac:dyDescent="0.25">
      <c r="A43" s="3" t="s">
        <v>64</v>
      </c>
      <c r="B43" s="4">
        <v>20.289000000000001</v>
      </c>
      <c r="C43" s="5">
        <v>50098</v>
      </c>
      <c r="D43" s="6">
        <v>42794</v>
      </c>
      <c r="E43" s="7">
        <v>0.77797636100000001</v>
      </c>
      <c r="F43" s="45">
        <f t="shared" si="0"/>
        <v>1.23742182708495E-2</v>
      </c>
      <c r="G43" s="7">
        <v>1.4066127559999999</v>
      </c>
      <c r="H43" s="7">
        <v>1.2451095679999999</v>
      </c>
      <c r="I43" s="7">
        <v>1.2056739999999999</v>
      </c>
      <c r="J43" s="7">
        <v>1.039728</v>
      </c>
      <c r="K43" s="8" t="s">
        <v>19</v>
      </c>
      <c r="L43" s="8" t="s">
        <v>187</v>
      </c>
      <c r="M43" s="7">
        <v>0</v>
      </c>
      <c r="N43" s="7">
        <v>1.2230000000000001</v>
      </c>
      <c r="O43" s="7">
        <v>1.2230000000000001</v>
      </c>
      <c r="P43" s="8" t="s">
        <v>42</v>
      </c>
      <c r="Q43" s="8" t="s">
        <v>43</v>
      </c>
      <c r="R43" s="8" t="s">
        <v>22</v>
      </c>
      <c r="S43" s="8" t="s">
        <v>341</v>
      </c>
    </row>
    <row r="44" spans="1:19" ht="21" hidden="1" x14ac:dyDescent="0.25">
      <c r="A44" s="3" t="s">
        <v>365</v>
      </c>
      <c r="B44" s="4">
        <v>20.803000000000001</v>
      </c>
      <c r="C44" s="5">
        <v>50283</v>
      </c>
      <c r="D44" s="6">
        <v>42794</v>
      </c>
      <c r="E44" s="7">
        <v>0.77156906300000005</v>
      </c>
      <c r="F44" s="45">
        <f t="shared" si="0"/>
        <v>1.2466080065519075E-2</v>
      </c>
      <c r="G44" s="7">
        <v>1.423176569</v>
      </c>
      <c r="H44" s="7">
        <v>1.2544105510000001</v>
      </c>
      <c r="I44" s="7">
        <v>1.2143619999999999</v>
      </c>
      <c r="J44" s="7">
        <v>1.047952</v>
      </c>
      <c r="K44" s="8"/>
      <c r="L44" s="8"/>
      <c r="M44" s="7"/>
      <c r="N44" s="7"/>
      <c r="O44" s="7"/>
      <c r="P44" s="8"/>
      <c r="Q44" s="8"/>
      <c r="R44" s="8"/>
      <c r="S44" s="8"/>
    </row>
    <row r="45" spans="1:19" x14ac:dyDescent="0.25">
      <c r="A45" s="3" t="s">
        <v>366</v>
      </c>
      <c r="B45" s="4">
        <v>21.3</v>
      </c>
      <c r="C45" s="5">
        <v>50462</v>
      </c>
      <c r="D45" s="6">
        <v>42794</v>
      </c>
      <c r="E45" s="7">
        <v>0.76543790499999997</v>
      </c>
      <c r="F45" s="45">
        <f t="shared" si="0"/>
        <v>1.2549633055943726E-2</v>
      </c>
      <c r="G45" s="7">
        <v>1.438693437</v>
      </c>
      <c r="H45" s="7">
        <v>1.262871012</v>
      </c>
      <c r="I45" s="7">
        <v>1.222478</v>
      </c>
      <c r="J45" s="7">
        <v>1.0559160000000001</v>
      </c>
      <c r="K45" s="8" t="s">
        <v>19</v>
      </c>
      <c r="L45" s="8" t="s">
        <v>187</v>
      </c>
      <c r="M45" s="7">
        <v>0</v>
      </c>
      <c r="N45" s="7">
        <v>1.24</v>
      </c>
      <c r="O45" s="7">
        <v>1.24</v>
      </c>
      <c r="P45" s="8" t="s">
        <v>42</v>
      </c>
      <c r="Q45" s="8" t="s">
        <v>43</v>
      </c>
      <c r="R45" s="8" t="s">
        <v>22</v>
      </c>
      <c r="S45" s="8" t="s">
        <v>341</v>
      </c>
    </row>
    <row r="46" spans="1:19" ht="21" hidden="1" x14ac:dyDescent="0.25">
      <c r="A46" s="3" t="s">
        <v>367</v>
      </c>
      <c r="B46" s="4">
        <v>21.817</v>
      </c>
      <c r="C46" s="5">
        <v>50648</v>
      </c>
      <c r="D46" s="6">
        <v>42794</v>
      </c>
      <c r="E46" s="7">
        <v>0.75914756999999999</v>
      </c>
      <c r="F46" s="45">
        <f t="shared" si="0"/>
        <v>1.2630668920129531E-2</v>
      </c>
      <c r="G46" s="7">
        <v>1.454241149</v>
      </c>
      <c r="H46" s="7">
        <v>1.2710772699999999</v>
      </c>
      <c r="I46" s="7">
        <v>1.2301709999999999</v>
      </c>
      <c r="J46" s="7">
        <v>1.064219</v>
      </c>
      <c r="K46" s="8"/>
      <c r="L46" s="8"/>
      <c r="M46" s="7"/>
      <c r="N46" s="7"/>
      <c r="O46" s="7"/>
      <c r="P46" s="8"/>
      <c r="Q46" s="8"/>
      <c r="R46" s="8"/>
      <c r="S46" s="8"/>
    </row>
    <row r="47" spans="1:19" x14ac:dyDescent="0.25">
      <c r="A47" s="3" t="s">
        <v>368</v>
      </c>
      <c r="B47" s="4">
        <v>22.318999999999999</v>
      </c>
      <c r="C47" s="5">
        <v>50829</v>
      </c>
      <c r="D47" s="6">
        <v>42794</v>
      </c>
      <c r="E47" s="7">
        <v>0.75311209499999998</v>
      </c>
      <c r="F47" s="45">
        <f t="shared" si="0"/>
        <v>1.2703774882273727E-2</v>
      </c>
      <c r="G47" s="7">
        <v>1.4687802059999999</v>
      </c>
      <c r="H47" s="7">
        <v>1.2784810609999999</v>
      </c>
      <c r="I47" s="7">
        <v>1.2373069999999999</v>
      </c>
      <c r="J47" s="7">
        <v>1.0722910000000001</v>
      </c>
      <c r="K47" s="8" t="s">
        <v>19</v>
      </c>
      <c r="L47" s="8" t="s">
        <v>187</v>
      </c>
      <c r="M47" s="7">
        <v>0</v>
      </c>
      <c r="N47" s="7">
        <v>1.2549999999999999</v>
      </c>
      <c r="O47" s="7">
        <v>1.2549999999999999</v>
      </c>
      <c r="P47" s="8" t="s">
        <v>42</v>
      </c>
      <c r="Q47" s="8" t="s">
        <v>43</v>
      </c>
      <c r="R47" s="8" t="s">
        <v>22</v>
      </c>
      <c r="S47" s="8" t="s">
        <v>341</v>
      </c>
    </row>
    <row r="48" spans="1:19" ht="21" hidden="1" x14ac:dyDescent="0.25">
      <c r="A48" s="3" t="s">
        <v>369</v>
      </c>
      <c r="B48" s="4">
        <v>22.831</v>
      </c>
      <c r="C48" s="5">
        <v>51013</v>
      </c>
      <c r="D48" s="6">
        <v>42794</v>
      </c>
      <c r="E48" s="7">
        <v>0.74726945600000005</v>
      </c>
      <c r="F48" s="45">
        <f t="shared" si="0"/>
        <v>1.2760506008998269E-2</v>
      </c>
      <c r="G48" s="7">
        <v>1.4813716219999999</v>
      </c>
      <c r="H48" s="7">
        <v>1.284226866</v>
      </c>
      <c r="I48" s="7">
        <v>1.2428330000000001</v>
      </c>
      <c r="J48" s="7">
        <v>1.0805560000000001</v>
      </c>
      <c r="K48" s="8"/>
      <c r="L48" s="8"/>
      <c r="M48" s="7"/>
      <c r="N48" s="7"/>
      <c r="O48" s="7"/>
      <c r="P48" s="8"/>
      <c r="Q48" s="8"/>
      <c r="R48" s="8"/>
      <c r="S48" s="8"/>
    </row>
    <row r="49" spans="1:19" x14ac:dyDescent="0.25">
      <c r="A49" s="3" t="s">
        <v>370</v>
      </c>
      <c r="B49" s="4">
        <v>23.335999999999999</v>
      </c>
      <c r="C49" s="5">
        <v>51195</v>
      </c>
      <c r="D49" s="6">
        <v>42794</v>
      </c>
      <c r="E49" s="7">
        <v>0.74154270300000003</v>
      </c>
      <c r="F49" s="45">
        <f t="shared" si="0"/>
        <v>1.2813725801116355E-2</v>
      </c>
      <c r="G49" s="7">
        <v>1.4935650680000001</v>
      </c>
      <c r="H49" s="7">
        <v>1.2896173339999999</v>
      </c>
      <c r="I49" s="7">
        <v>1.2481960000000001</v>
      </c>
      <c r="J49" s="7">
        <v>1.088735</v>
      </c>
      <c r="K49" s="8" t="s">
        <v>19</v>
      </c>
      <c r="L49" s="8" t="s">
        <v>187</v>
      </c>
      <c r="M49" s="7">
        <v>0</v>
      </c>
      <c r="N49" s="7">
        <v>1.266</v>
      </c>
      <c r="O49" s="7">
        <v>1.266</v>
      </c>
      <c r="P49" s="8" t="s">
        <v>42</v>
      </c>
      <c r="Q49" s="8" t="s">
        <v>43</v>
      </c>
      <c r="R49" s="8" t="s">
        <v>22</v>
      </c>
      <c r="S49" s="8" t="s">
        <v>341</v>
      </c>
    </row>
    <row r="50" spans="1:19" ht="21" hidden="1" x14ac:dyDescent="0.25">
      <c r="A50" s="3" t="s">
        <v>371</v>
      </c>
      <c r="B50" s="4">
        <v>23.847000000000001</v>
      </c>
      <c r="C50" s="5">
        <v>51379</v>
      </c>
      <c r="D50" s="6">
        <v>42794</v>
      </c>
      <c r="E50" s="7">
        <v>0.73580954499999995</v>
      </c>
      <c r="F50" s="45">
        <f t="shared" si="0"/>
        <v>1.2864557610179376E-2</v>
      </c>
      <c r="G50" s="7">
        <v>1.505614912</v>
      </c>
      <c r="H50" s="7">
        <v>1.294766203</v>
      </c>
      <c r="I50" s="7">
        <v>1.253155</v>
      </c>
      <c r="J50" s="7">
        <v>1.0970120000000001</v>
      </c>
      <c r="K50" s="8"/>
      <c r="L50" s="8"/>
      <c r="M50" s="7"/>
      <c r="N50" s="7"/>
      <c r="O50" s="7"/>
      <c r="P50" s="8"/>
      <c r="Q50" s="8"/>
      <c r="R50" s="8"/>
      <c r="S50" s="8"/>
    </row>
    <row r="51" spans="1:19" x14ac:dyDescent="0.25">
      <c r="A51" s="3" t="s">
        <v>372</v>
      </c>
      <c r="B51" s="4">
        <v>24.35</v>
      </c>
      <c r="C51" s="5">
        <v>51560</v>
      </c>
      <c r="D51" s="6">
        <v>42794</v>
      </c>
      <c r="E51" s="7">
        <v>0.73022832000000004</v>
      </c>
      <c r="F51" s="45">
        <f t="shared" si="0"/>
        <v>1.2911623269727021E-2</v>
      </c>
      <c r="G51" s="7">
        <v>1.5171856239999999</v>
      </c>
      <c r="H51" s="7">
        <v>1.2995338190000001</v>
      </c>
      <c r="I51" s="7">
        <v>1.257917</v>
      </c>
      <c r="J51" s="7">
        <v>1.1051569999999999</v>
      </c>
      <c r="K51" s="8" t="s">
        <v>19</v>
      </c>
      <c r="L51" s="8" t="s">
        <v>187</v>
      </c>
      <c r="M51" s="7">
        <v>0</v>
      </c>
      <c r="N51" s="7">
        <v>1.276</v>
      </c>
      <c r="O51" s="7">
        <v>1.276</v>
      </c>
      <c r="P51" s="8" t="s">
        <v>42</v>
      </c>
      <c r="Q51" s="8" t="s">
        <v>43</v>
      </c>
      <c r="R51" s="8" t="s">
        <v>22</v>
      </c>
      <c r="S51" s="8" t="s">
        <v>341</v>
      </c>
    </row>
    <row r="52" spans="1:19" ht="21" hidden="1" x14ac:dyDescent="0.25">
      <c r="A52" s="3" t="s">
        <v>373</v>
      </c>
      <c r="B52" s="4">
        <v>24.858000000000001</v>
      </c>
      <c r="C52" s="5">
        <v>51743</v>
      </c>
      <c r="D52" s="6">
        <v>42794</v>
      </c>
      <c r="E52" s="7">
        <v>0.72483535399999999</v>
      </c>
      <c r="F52" s="45">
        <f t="shared" si="0"/>
        <v>1.294578938715937E-2</v>
      </c>
      <c r="G52" s="7">
        <v>1.52714846</v>
      </c>
      <c r="H52" s="7">
        <v>1.3029948899999999</v>
      </c>
      <c r="I52" s="7">
        <v>1.2614080000000001</v>
      </c>
      <c r="J52" s="7">
        <v>1.1134280000000001</v>
      </c>
      <c r="K52" s="8"/>
      <c r="L52" s="8"/>
      <c r="M52" s="7"/>
      <c r="N52" s="7"/>
      <c r="O52" s="7"/>
      <c r="P52" s="8"/>
      <c r="Q52" s="8"/>
      <c r="R52" s="8"/>
      <c r="S52" s="8"/>
    </row>
    <row r="53" spans="1:19" x14ac:dyDescent="0.25">
      <c r="A53" s="3" t="s">
        <v>69</v>
      </c>
      <c r="B53" s="4">
        <v>25.364000000000001</v>
      </c>
      <c r="C53" s="5">
        <v>51925</v>
      </c>
      <c r="D53" s="6">
        <v>42794</v>
      </c>
      <c r="E53" s="7">
        <v>0.71952716800000005</v>
      </c>
      <c r="F53" s="45">
        <f t="shared" si="0"/>
        <v>1.2977544384234263E-2</v>
      </c>
      <c r="G53" s="7">
        <v>1.536836831</v>
      </c>
      <c r="H53" s="7">
        <v>1.3062118149999999</v>
      </c>
      <c r="I53" s="7">
        <v>1.2648269999999999</v>
      </c>
      <c r="J53" s="7">
        <v>1.121672</v>
      </c>
      <c r="K53" s="8" t="s">
        <v>19</v>
      </c>
      <c r="L53" s="8" t="s">
        <v>187</v>
      </c>
      <c r="M53" s="7">
        <v>0</v>
      </c>
      <c r="N53" s="7">
        <v>1.2829999999999999</v>
      </c>
      <c r="O53" s="7">
        <v>1.2829999999999999</v>
      </c>
      <c r="P53" s="8" t="s">
        <v>42</v>
      </c>
      <c r="Q53" s="8" t="s">
        <v>43</v>
      </c>
      <c r="R53" s="8" t="s">
        <v>22</v>
      </c>
      <c r="S53" s="8" t="s">
        <v>341</v>
      </c>
    </row>
    <row r="54" spans="1:19" ht="21" hidden="1" x14ac:dyDescent="0.25">
      <c r="A54" s="3" t="s">
        <v>374</v>
      </c>
      <c r="B54" s="4">
        <v>25.869</v>
      </c>
      <c r="C54" s="5">
        <v>52107</v>
      </c>
      <c r="D54" s="6">
        <v>42794</v>
      </c>
      <c r="E54" s="7">
        <v>0.71428535999999998</v>
      </c>
      <c r="F54" s="45">
        <f t="shared" si="0"/>
        <v>1.3006569713699232E-2</v>
      </c>
      <c r="G54" s="7">
        <v>1.546228393</v>
      </c>
      <c r="H54" s="7">
        <v>1.309152308</v>
      </c>
      <c r="I54" s="7">
        <v>1.2678259999999999</v>
      </c>
      <c r="J54" s="7">
        <v>1.1253379999999999</v>
      </c>
      <c r="K54" s="8"/>
      <c r="L54" s="8"/>
      <c r="M54" s="7"/>
      <c r="N54" s="7"/>
      <c r="O54" s="7"/>
      <c r="P54" s="8"/>
      <c r="Q54" s="8"/>
      <c r="R54" s="8"/>
      <c r="S54" s="8"/>
    </row>
    <row r="55" spans="1:19" x14ac:dyDescent="0.25">
      <c r="A55" s="3" t="s">
        <v>375</v>
      </c>
      <c r="B55" s="4">
        <v>26.375</v>
      </c>
      <c r="C55" s="5">
        <v>52289</v>
      </c>
      <c r="D55" s="6">
        <v>42794</v>
      </c>
      <c r="E55" s="7">
        <v>0.70910487600000005</v>
      </c>
      <c r="F55" s="45">
        <f t="shared" si="0"/>
        <v>1.3033245208482629E-2</v>
      </c>
      <c r="G55" s="7">
        <v>1.5553692219999999</v>
      </c>
      <c r="H55" s="7">
        <v>1.311854812</v>
      </c>
      <c r="I55" s="7">
        <v>1.270761</v>
      </c>
      <c r="J55" s="7">
        <v>1.1289990000000001</v>
      </c>
      <c r="K55" s="8" t="s">
        <v>19</v>
      </c>
      <c r="L55" s="8" t="s">
        <v>187</v>
      </c>
      <c r="M55" s="7">
        <v>0</v>
      </c>
      <c r="N55" s="7">
        <v>1.2889999999999999</v>
      </c>
      <c r="O55" s="7">
        <v>1.2889999999999999</v>
      </c>
      <c r="P55" s="8" t="s">
        <v>42</v>
      </c>
      <c r="Q55" s="8" t="s">
        <v>43</v>
      </c>
      <c r="R55" s="8" t="s">
        <v>22</v>
      </c>
      <c r="S55" s="8" t="s">
        <v>341</v>
      </c>
    </row>
    <row r="56" spans="1:19" ht="21" hidden="1" x14ac:dyDescent="0.25">
      <c r="A56" s="3" t="s">
        <v>376</v>
      </c>
      <c r="B56" s="4">
        <v>26.888999999999999</v>
      </c>
      <c r="C56" s="5">
        <v>52474</v>
      </c>
      <c r="D56" s="6">
        <v>42794</v>
      </c>
      <c r="E56" s="7">
        <v>0.703921397</v>
      </c>
      <c r="F56" s="45">
        <f t="shared" si="0"/>
        <v>1.3057013344696299E-2</v>
      </c>
      <c r="G56" s="7">
        <v>1.5642638149999999</v>
      </c>
      <c r="H56" s="7">
        <v>1.3142628350000001</v>
      </c>
      <c r="I56" s="7">
        <v>1.273299</v>
      </c>
      <c r="J56" s="7">
        <v>1.1327430000000001</v>
      </c>
      <c r="K56" s="8"/>
      <c r="L56" s="8"/>
      <c r="M56" s="7"/>
      <c r="N56" s="7"/>
      <c r="O56" s="7"/>
      <c r="P56" s="8"/>
      <c r="Q56" s="8"/>
      <c r="R56" s="8"/>
      <c r="S56" s="8"/>
    </row>
    <row r="57" spans="1:19" x14ac:dyDescent="0.25">
      <c r="A57" s="3" t="s">
        <v>377</v>
      </c>
      <c r="B57" s="4">
        <v>27.393999999999998</v>
      </c>
      <c r="C57" s="5">
        <v>52656</v>
      </c>
      <c r="D57" s="6">
        <v>42794</v>
      </c>
      <c r="E57" s="7">
        <v>0.69888750799999999</v>
      </c>
      <c r="F57" s="45">
        <f t="shared" si="0"/>
        <v>1.3078034241104536E-2</v>
      </c>
      <c r="G57" s="7">
        <v>1.572747482</v>
      </c>
      <c r="H57" s="7">
        <v>1.316392577</v>
      </c>
      <c r="I57" s="7">
        <v>1.275717</v>
      </c>
      <c r="J57" s="7">
        <v>1.136414</v>
      </c>
      <c r="K57" s="8" t="s">
        <v>19</v>
      </c>
      <c r="L57" s="8" t="s">
        <v>187</v>
      </c>
      <c r="M57" s="7">
        <v>0</v>
      </c>
      <c r="N57" s="7">
        <v>1.294</v>
      </c>
      <c r="O57" s="7">
        <v>1.294</v>
      </c>
      <c r="P57" s="8" t="s">
        <v>42</v>
      </c>
      <c r="Q57" s="8" t="s">
        <v>43</v>
      </c>
      <c r="R57" s="8" t="s">
        <v>22</v>
      </c>
      <c r="S57" s="8" t="s">
        <v>341</v>
      </c>
    </row>
    <row r="58" spans="1:19" ht="21" hidden="1" x14ac:dyDescent="0.25">
      <c r="A58" s="3" t="s">
        <v>378</v>
      </c>
      <c r="B58" s="4">
        <v>27.905999999999999</v>
      </c>
      <c r="C58" s="5">
        <v>52840</v>
      </c>
      <c r="D58" s="6">
        <v>42794</v>
      </c>
      <c r="E58" s="7">
        <v>0.69389435899999996</v>
      </c>
      <c r="F58" s="45">
        <f t="shared" si="0"/>
        <v>1.3095440791193475E-2</v>
      </c>
      <c r="G58" s="7">
        <v>1.580837764</v>
      </c>
      <c r="H58" s="7">
        <v>1.318156157</v>
      </c>
      <c r="I58" s="7">
        <v>1.277684</v>
      </c>
      <c r="J58" s="7">
        <v>1.1401460000000001</v>
      </c>
      <c r="K58" s="8"/>
      <c r="L58" s="8"/>
      <c r="M58" s="7"/>
      <c r="N58" s="7"/>
      <c r="O58" s="7"/>
      <c r="P58" s="8"/>
      <c r="Q58" s="8"/>
      <c r="R58" s="8"/>
      <c r="S58" s="8"/>
    </row>
    <row r="59" spans="1:19" x14ac:dyDescent="0.25">
      <c r="A59" s="3" t="s">
        <v>379</v>
      </c>
      <c r="B59" s="4">
        <v>28.408000000000001</v>
      </c>
      <c r="C59" s="5">
        <v>53021</v>
      </c>
      <c r="D59" s="6">
        <v>42794</v>
      </c>
      <c r="E59" s="7">
        <v>0.68904264199999998</v>
      </c>
      <c r="F59" s="45">
        <f t="shared" si="0"/>
        <v>1.3110664248343427E-2</v>
      </c>
      <c r="G59" s="7">
        <v>1.58857961</v>
      </c>
      <c r="H59" s="7">
        <v>1.3196985859999999</v>
      </c>
      <c r="I59" s="7">
        <v>1.279576</v>
      </c>
      <c r="J59" s="7">
        <v>1.1438090000000001</v>
      </c>
      <c r="K59" s="8" t="s">
        <v>19</v>
      </c>
      <c r="L59" s="8" t="s">
        <v>187</v>
      </c>
      <c r="M59" s="7">
        <v>0</v>
      </c>
      <c r="N59" s="7">
        <v>1.298</v>
      </c>
      <c r="O59" s="7">
        <v>1.298</v>
      </c>
      <c r="P59" s="8" t="s">
        <v>42</v>
      </c>
      <c r="Q59" s="8" t="s">
        <v>43</v>
      </c>
      <c r="R59" s="8" t="s">
        <v>22</v>
      </c>
      <c r="S59" s="8" t="s">
        <v>341</v>
      </c>
    </row>
    <row r="60" spans="1:19" ht="21" hidden="1" x14ac:dyDescent="0.25">
      <c r="A60" s="3" t="s">
        <v>380</v>
      </c>
      <c r="B60" s="4">
        <v>28.919</v>
      </c>
      <c r="C60" s="5">
        <v>53205</v>
      </c>
      <c r="D60" s="6">
        <v>42794</v>
      </c>
      <c r="E60" s="7">
        <v>0.68419262800000002</v>
      </c>
      <c r="F60" s="45">
        <f t="shared" si="0"/>
        <v>1.312320441884865E-2</v>
      </c>
      <c r="G60" s="7">
        <v>1.596077325</v>
      </c>
      <c r="H60" s="7">
        <v>1.3209691589999999</v>
      </c>
      <c r="I60" s="7">
        <v>1.281104</v>
      </c>
      <c r="J60" s="7">
        <v>1.147545</v>
      </c>
      <c r="K60" s="8"/>
      <c r="L60" s="8"/>
      <c r="M60" s="7"/>
      <c r="N60" s="7"/>
      <c r="O60" s="7"/>
      <c r="P60" s="8"/>
      <c r="Q60" s="8"/>
      <c r="R60" s="8"/>
      <c r="S60" s="8"/>
    </row>
    <row r="61" spans="1:19" x14ac:dyDescent="0.25">
      <c r="A61" s="3" t="s">
        <v>381</v>
      </c>
      <c r="B61" s="4">
        <v>29.422000000000001</v>
      </c>
      <c r="C61" s="5">
        <v>53386</v>
      </c>
      <c r="D61" s="6">
        <v>42794</v>
      </c>
      <c r="E61" s="7">
        <v>0.67948816400000001</v>
      </c>
      <c r="F61" s="45">
        <f t="shared" si="0"/>
        <v>1.3133456110633431E-2</v>
      </c>
      <c r="G61" s="7">
        <v>1.603196308</v>
      </c>
      <c r="H61" s="7">
        <v>1.3220078740000001</v>
      </c>
      <c r="I61" s="7">
        <v>1.2825489999999999</v>
      </c>
      <c r="J61" s="7">
        <v>1.1512180000000001</v>
      </c>
      <c r="K61" s="8" t="s">
        <v>19</v>
      </c>
      <c r="L61" s="8" t="s">
        <v>187</v>
      </c>
      <c r="M61" s="7">
        <v>0</v>
      </c>
      <c r="N61" s="7">
        <v>1.3009999999999999</v>
      </c>
      <c r="O61" s="7">
        <v>1.3009999999999999</v>
      </c>
      <c r="P61" s="8" t="s">
        <v>42</v>
      </c>
      <c r="Q61" s="8" t="s">
        <v>43</v>
      </c>
      <c r="R61" s="8" t="s">
        <v>22</v>
      </c>
      <c r="S61" s="8" t="s">
        <v>341</v>
      </c>
    </row>
    <row r="62" spans="1:19" ht="21" hidden="1" x14ac:dyDescent="0.25">
      <c r="A62" s="3" t="s">
        <v>382</v>
      </c>
      <c r="B62" s="4">
        <v>29.933</v>
      </c>
      <c r="C62" s="5">
        <v>53570</v>
      </c>
      <c r="D62" s="6">
        <v>42794</v>
      </c>
      <c r="E62" s="7">
        <v>0.67479096900000002</v>
      </c>
      <c r="F62" s="45">
        <f t="shared" si="0"/>
        <v>1.3140945822646072E-2</v>
      </c>
      <c r="G62" s="7">
        <v>1.610045889</v>
      </c>
      <c r="H62" s="7">
        <v>1.3227667519999999</v>
      </c>
      <c r="I62" s="7">
        <v>1.2836320000000001</v>
      </c>
      <c r="J62" s="7">
        <v>1.15496</v>
      </c>
      <c r="K62" s="8"/>
      <c r="L62" s="8"/>
      <c r="M62" s="7"/>
      <c r="N62" s="7"/>
      <c r="O62" s="7"/>
      <c r="P62" s="8"/>
      <c r="Q62" s="8"/>
      <c r="R62" s="8"/>
      <c r="S62" s="8"/>
    </row>
    <row r="63" spans="1:19" x14ac:dyDescent="0.25">
      <c r="A63" s="3" t="s">
        <v>74</v>
      </c>
      <c r="B63" s="4">
        <v>30.436</v>
      </c>
      <c r="C63" s="5">
        <v>53751</v>
      </c>
      <c r="D63" s="6">
        <v>42794</v>
      </c>
      <c r="E63" s="7">
        <v>0.67026573700000003</v>
      </c>
      <c r="F63" s="45">
        <f t="shared" si="0"/>
        <v>1.314494553467702E-2</v>
      </c>
      <c r="G63" s="7">
        <v>1.6163220490000001</v>
      </c>
      <c r="H63" s="7">
        <v>1.3231720140000001</v>
      </c>
      <c r="I63" s="7">
        <v>1.2845340000000001</v>
      </c>
      <c r="J63" s="7">
        <v>1.158649</v>
      </c>
      <c r="K63" s="8" t="s">
        <v>19</v>
      </c>
      <c r="L63" s="8" t="s">
        <v>187</v>
      </c>
      <c r="M63" s="7">
        <v>0</v>
      </c>
      <c r="N63" s="7">
        <v>1.3029999999999999</v>
      </c>
      <c r="O63" s="7">
        <v>1.3029999999999999</v>
      </c>
      <c r="P63" s="8" t="s">
        <v>42</v>
      </c>
      <c r="Q63" s="8" t="s">
        <v>43</v>
      </c>
      <c r="R63" s="8" t="s">
        <v>22</v>
      </c>
      <c r="S63" s="8" t="s">
        <v>341</v>
      </c>
    </row>
    <row r="64" spans="1:19" ht="21" hidden="1" x14ac:dyDescent="0.25">
      <c r="A64" s="3" t="s">
        <v>383</v>
      </c>
      <c r="B64" s="4">
        <v>30.943999999999999</v>
      </c>
      <c r="C64" s="5">
        <v>53934</v>
      </c>
      <c r="D64" s="6">
        <v>42794</v>
      </c>
      <c r="E64" s="7">
        <v>0.66578587300000003</v>
      </c>
      <c r="F64" s="45">
        <f t="shared" si="0"/>
        <v>1.3145725491376839E-2</v>
      </c>
      <c r="G64" s="7">
        <v>1.622211729</v>
      </c>
      <c r="H64" s="7">
        <v>1.3232510399999999</v>
      </c>
      <c r="I64" s="7">
        <v>1.28504</v>
      </c>
      <c r="J64" s="7">
        <v>1.159686</v>
      </c>
      <c r="K64" s="8"/>
      <c r="L64" s="8"/>
      <c r="M64" s="7"/>
      <c r="N64" s="7"/>
      <c r="O64" s="7"/>
      <c r="P64" s="8"/>
      <c r="Q64" s="8"/>
      <c r="R64" s="8"/>
      <c r="S64" s="8"/>
    </row>
    <row r="65" spans="1:19" hidden="1" x14ac:dyDescent="0.25">
      <c r="A65" s="3" t="s">
        <v>75</v>
      </c>
      <c r="B65" s="4">
        <v>31.45</v>
      </c>
      <c r="C65" s="5">
        <v>54116</v>
      </c>
      <c r="D65" s="6">
        <v>42794</v>
      </c>
      <c r="E65" s="7">
        <v>0.66136018699999999</v>
      </c>
      <c r="F65" s="45">
        <f t="shared" si="0"/>
        <v>1.3146476161750758E-2</v>
      </c>
      <c r="G65" s="7">
        <v>1.62809341</v>
      </c>
      <c r="H65" s="7">
        <v>1.3233271010000001</v>
      </c>
      <c r="I65" s="7">
        <v>1.285647</v>
      </c>
      <c r="J65" s="7">
        <v>1.160704</v>
      </c>
      <c r="K65" s="8"/>
      <c r="L65" s="8"/>
      <c r="M65" s="7"/>
      <c r="N65" s="7"/>
      <c r="O65" s="7"/>
      <c r="P65" s="8"/>
      <c r="Q65" s="8"/>
      <c r="R65" s="8"/>
      <c r="S65" s="8"/>
    </row>
    <row r="66" spans="1:19" ht="21" hidden="1" x14ac:dyDescent="0.25">
      <c r="A66" s="3" t="s">
        <v>384</v>
      </c>
      <c r="B66" s="4">
        <v>31.963999999999999</v>
      </c>
      <c r="C66" s="5">
        <v>54301</v>
      </c>
      <c r="D66" s="6">
        <v>42794</v>
      </c>
      <c r="E66" s="7">
        <v>0.656891699</v>
      </c>
      <c r="F66" s="45">
        <f t="shared" si="0"/>
        <v>1.3147214885239206E-2</v>
      </c>
      <c r="G66" s="7">
        <v>1.634097023</v>
      </c>
      <c r="H66" s="7">
        <v>1.32340195</v>
      </c>
      <c r="I66" s="7">
        <v>1.2861279999999999</v>
      </c>
      <c r="J66" s="7">
        <v>1.1617489999999999</v>
      </c>
      <c r="K66" s="8"/>
      <c r="L66" s="8"/>
      <c r="M66" s="7"/>
      <c r="N66" s="7"/>
      <c r="O66" s="7"/>
      <c r="P66" s="8"/>
      <c r="Q66" s="8"/>
      <c r="R66" s="8"/>
      <c r="S66" s="8"/>
    </row>
    <row r="67" spans="1:19" ht="21" hidden="1" x14ac:dyDescent="0.25">
      <c r="A67" s="3" t="s">
        <v>76</v>
      </c>
      <c r="B67" s="4">
        <v>32.460999999999999</v>
      </c>
      <c r="C67" s="5">
        <v>54480</v>
      </c>
      <c r="D67" s="6">
        <v>42794</v>
      </c>
      <c r="E67" s="7">
        <v>0.65259687600000005</v>
      </c>
      <c r="F67" s="45">
        <f t="shared" si="0"/>
        <v>1.3147907364579074E-2</v>
      </c>
      <c r="G67" s="7">
        <v>1.6399301399999999</v>
      </c>
      <c r="H67" s="7">
        <v>1.3234721149999999</v>
      </c>
      <c r="I67" s="7">
        <v>1.2866930000000001</v>
      </c>
      <c r="J67" s="7">
        <v>1.162749</v>
      </c>
      <c r="K67" s="8"/>
      <c r="L67" s="8"/>
      <c r="M67" s="7"/>
      <c r="N67" s="7"/>
      <c r="O67" s="7"/>
      <c r="P67" s="8"/>
      <c r="Q67" s="8"/>
      <c r="R67" s="8"/>
      <c r="S67" s="8"/>
    </row>
    <row r="68" spans="1:19" ht="21" hidden="1" x14ac:dyDescent="0.25">
      <c r="A68" s="3" t="s">
        <v>385</v>
      </c>
      <c r="B68" s="4">
        <v>32.978000000000002</v>
      </c>
      <c r="C68" s="5">
        <v>54666</v>
      </c>
      <c r="D68" s="6">
        <v>42794</v>
      </c>
      <c r="E68" s="7">
        <v>0.64816384500000002</v>
      </c>
      <c r="F68" s="45">
        <f t="shared" ref="F68:F123" si="1">-LN(E68)/(YEARFRAC(D68,C68,2))</f>
        <v>1.3148604805636812E-2</v>
      </c>
      <c r="G68" s="7">
        <v>1.6460168509999999</v>
      </c>
      <c r="H68" s="7">
        <v>1.3235427829999999</v>
      </c>
      <c r="I68" s="7">
        <v>1.2871429999999999</v>
      </c>
      <c r="J68" s="7">
        <v>1.163791</v>
      </c>
      <c r="K68" s="8"/>
      <c r="L68" s="8"/>
      <c r="M68" s="7"/>
      <c r="N68" s="7"/>
      <c r="O68" s="7"/>
      <c r="P68" s="8"/>
      <c r="Q68" s="8"/>
      <c r="R68" s="8"/>
      <c r="S68" s="8"/>
    </row>
    <row r="69" spans="1:19" ht="21" hidden="1" x14ac:dyDescent="0.25">
      <c r="A69" s="3" t="s">
        <v>77</v>
      </c>
      <c r="B69" s="4">
        <v>33.481000000000002</v>
      </c>
      <c r="C69" s="5">
        <v>54847</v>
      </c>
      <c r="D69" s="6">
        <v>42794</v>
      </c>
      <c r="E69" s="7">
        <v>0.64387889300000001</v>
      </c>
      <c r="F69" s="45">
        <f t="shared" si="1"/>
        <v>1.3149262836440421E-2</v>
      </c>
      <c r="G69" s="7">
        <v>1.6519651099999999</v>
      </c>
      <c r="H69" s="7">
        <v>1.323609458</v>
      </c>
      <c r="I69" s="7">
        <v>1.2876780000000001</v>
      </c>
      <c r="J69" s="7">
        <v>1.164795</v>
      </c>
      <c r="K69" s="8"/>
      <c r="L69" s="8"/>
      <c r="M69" s="7"/>
      <c r="N69" s="7"/>
      <c r="O69" s="7"/>
      <c r="P69" s="8"/>
      <c r="Q69" s="8"/>
      <c r="R69" s="8"/>
      <c r="S69" s="8"/>
    </row>
    <row r="70" spans="1:19" ht="21" hidden="1" x14ac:dyDescent="0.25">
      <c r="A70" s="3" t="s">
        <v>386</v>
      </c>
      <c r="B70" s="4">
        <v>33.991999999999997</v>
      </c>
      <c r="C70" s="5">
        <v>55031</v>
      </c>
      <c r="D70" s="6">
        <v>42794</v>
      </c>
      <c r="E70" s="7">
        <v>0.63955195399999998</v>
      </c>
      <c r="F70" s="45">
        <f t="shared" si="1"/>
        <v>1.3149911831375236E-2</v>
      </c>
      <c r="G70" s="7">
        <v>1.6580376429999999</v>
      </c>
      <c r="H70" s="7">
        <v>1.323675216</v>
      </c>
      <c r="I70" s="7">
        <v>1.2880990000000001</v>
      </c>
      <c r="J70" s="7">
        <v>1.165824</v>
      </c>
      <c r="K70" s="8"/>
      <c r="L70" s="8"/>
      <c r="M70" s="7"/>
      <c r="N70" s="7"/>
      <c r="O70" s="7"/>
      <c r="P70" s="8"/>
      <c r="Q70" s="8"/>
      <c r="R70" s="8"/>
      <c r="S70" s="8"/>
    </row>
    <row r="71" spans="1:19" ht="21" hidden="1" x14ac:dyDescent="0.25">
      <c r="A71" s="3" t="s">
        <v>78</v>
      </c>
      <c r="B71" s="4">
        <v>34.494</v>
      </c>
      <c r="C71" s="5">
        <v>55212</v>
      </c>
      <c r="D71" s="6">
        <v>42794</v>
      </c>
      <c r="E71" s="7">
        <v>0.63532393399999998</v>
      </c>
      <c r="F71" s="45">
        <f t="shared" si="1"/>
        <v>1.3150531489492598E-2</v>
      </c>
      <c r="G71" s="7">
        <v>1.664036659</v>
      </c>
      <c r="H71" s="7">
        <v>1.3237380000000001</v>
      </c>
      <c r="I71" s="7">
        <v>1.2886040000000001</v>
      </c>
      <c r="J71" s="7">
        <v>1.166825</v>
      </c>
      <c r="K71" s="8"/>
      <c r="L71" s="8"/>
      <c r="M71" s="7"/>
      <c r="N71" s="7"/>
      <c r="O71" s="7"/>
      <c r="P71" s="8"/>
      <c r="Q71" s="8"/>
      <c r="R71" s="8"/>
      <c r="S71" s="8"/>
    </row>
    <row r="72" spans="1:19" ht="21" hidden="1" x14ac:dyDescent="0.25">
      <c r="A72" s="3" t="s">
        <v>387</v>
      </c>
      <c r="B72" s="4">
        <v>35.006</v>
      </c>
      <c r="C72" s="5">
        <v>55396</v>
      </c>
      <c r="D72" s="6">
        <v>42794</v>
      </c>
      <c r="E72" s="7">
        <v>0.63105507400000005</v>
      </c>
      <c r="F72" s="45">
        <f t="shared" si="1"/>
        <v>1.3151116513831542E-2</v>
      </c>
      <c r="G72" s="7">
        <v>1.6701570210000001</v>
      </c>
      <c r="H72" s="7">
        <v>1.3237972760000001</v>
      </c>
      <c r="I72" s="7">
        <v>1.2889999999999999</v>
      </c>
      <c r="J72" s="7">
        <v>1.167851</v>
      </c>
      <c r="K72" s="8"/>
      <c r="L72" s="8"/>
      <c r="M72" s="7"/>
      <c r="N72" s="7"/>
      <c r="O72" s="7"/>
      <c r="P72" s="8"/>
      <c r="Q72" s="8"/>
      <c r="R72" s="8"/>
      <c r="S72" s="8"/>
    </row>
    <row r="73" spans="1:19" x14ac:dyDescent="0.25">
      <c r="A73" s="3" t="s">
        <v>388</v>
      </c>
      <c r="B73" s="4">
        <v>35.511000000000003</v>
      </c>
      <c r="C73" s="5">
        <v>55578</v>
      </c>
      <c r="D73" s="6">
        <v>42794</v>
      </c>
      <c r="E73" s="7">
        <v>0.62686140499999998</v>
      </c>
      <c r="F73" s="45">
        <f t="shared" si="1"/>
        <v>1.3151652900383483E-2</v>
      </c>
      <c r="G73" s="7">
        <v>1.6762329680000001</v>
      </c>
      <c r="H73" s="7">
        <v>1.3238516250000001</v>
      </c>
      <c r="I73" s="7">
        <v>1.289474</v>
      </c>
      <c r="J73" s="7">
        <v>1.1688510000000001</v>
      </c>
      <c r="K73" s="8" t="s">
        <v>19</v>
      </c>
      <c r="L73" s="8" t="s">
        <v>187</v>
      </c>
      <c r="M73" s="7">
        <v>0</v>
      </c>
      <c r="N73" s="7">
        <v>1.3080000000000001</v>
      </c>
      <c r="O73" s="7">
        <v>1.3080000000000001</v>
      </c>
      <c r="P73" s="8" t="s">
        <v>42</v>
      </c>
      <c r="Q73" s="8" t="s">
        <v>43</v>
      </c>
      <c r="R73" s="8" t="s">
        <v>22</v>
      </c>
      <c r="S73" s="8" t="s">
        <v>341</v>
      </c>
    </row>
    <row r="74" spans="1:19" ht="21" hidden="1" x14ac:dyDescent="0.25">
      <c r="A74" s="3" t="s">
        <v>389</v>
      </c>
      <c r="B74" s="4">
        <v>36.018999999999998</v>
      </c>
      <c r="C74" s="5">
        <v>55761</v>
      </c>
      <c r="D74" s="6">
        <v>42794</v>
      </c>
      <c r="E74" s="7">
        <v>0.62298721199999996</v>
      </c>
      <c r="F74" s="45">
        <f t="shared" si="1"/>
        <v>1.3138161739834833E-2</v>
      </c>
      <c r="G74" s="7">
        <v>1.6801185970000001</v>
      </c>
      <c r="H74" s="7">
        <v>1.3224846589999999</v>
      </c>
      <c r="I74" s="7">
        <v>1.288754</v>
      </c>
      <c r="J74" s="7">
        <v>1.169902</v>
      </c>
      <c r="K74" s="8"/>
      <c r="L74" s="8"/>
      <c r="M74" s="7"/>
      <c r="N74" s="7"/>
      <c r="O74" s="7"/>
      <c r="P74" s="8"/>
      <c r="Q74" s="8"/>
      <c r="R74" s="8"/>
      <c r="S74" s="8"/>
    </row>
    <row r="75" spans="1:19" ht="21" hidden="1" x14ac:dyDescent="0.25">
      <c r="A75" s="3" t="s">
        <v>80</v>
      </c>
      <c r="B75" s="4">
        <v>36.524999999999999</v>
      </c>
      <c r="C75" s="5">
        <v>55943</v>
      </c>
      <c r="D75" s="6">
        <v>42794</v>
      </c>
      <c r="E75" s="7">
        <v>0.61915793699999999</v>
      </c>
      <c r="F75" s="45">
        <f t="shared" si="1"/>
        <v>1.3125116775238841E-2</v>
      </c>
      <c r="G75" s="7">
        <v>1.6840432430000001</v>
      </c>
      <c r="H75" s="7">
        <v>1.321162918</v>
      </c>
      <c r="I75" s="7">
        <v>1.288141</v>
      </c>
      <c r="J75" s="7">
        <v>1.1709290000000001</v>
      </c>
      <c r="K75" s="8"/>
      <c r="L75" s="8"/>
      <c r="M75" s="7"/>
      <c r="N75" s="7"/>
      <c r="O75" s="7"/>
      <c r="P75" s="8"/>
      <c r="Q75" s="8"/>
      <c r="R75" s="8"/>
      <c r="S75" s="8"/>
    </row>
    <row r="76" spans="1:19" ht="21" hidden="1" x14ac:dyDescent="0.25">
      <c r="A76" s="3" t="s">
        <v>390</v>
      </c>
      <c r="B76" s="4">
        <v>37.030999999999999</v>
      </c>
      <c r="C76" s="5">
        <v>56125</v>
      </c>
      <c r="D76" s="6">
        <v>42794</v>
      </c>
      <c r="E76" s="7">
        <v>0.61535220000000002</v>
      </c>
      <c r="F76" s="45">
        <f t="shared" si="1"/>
        <v>1.3112427963458692E-2</v>
      </c>
      <c r="G76" s="7">
        <v>1.6880265290000001</v>
      </c>
      <c r="H76" s="7">
        <v>1.3198772839999999</v>
      </c>
      <c r="I76" s="7">
        <v>1.2874620000000001</v>
      </c>
      <c r="J76" s="7">
        <v>1.171967</v>
      </c>
      <c r="K76" s="8"/>
      <c r="L76" s="8"/>
      <c r="M76" s="7"/>
      <c r="N76" s="7"/>
      <c r="O76" s="7"/>
      <c r="P76" s="8"/>
      <c r="Q76" s="8"/>
      <c r="R76" s="8"/>
      <c r="S76" s="8"/>
    </row>
    <row r="77" spans="1:19" ht="21" hidden="1" x14ac:dyDescent="0.25">
      <c r="A77" s="3" t="s">
        <v>81</v>
      </c>
      <c r="B77" s="4">
        <v>37.536000000000001</v>
      </c>
      <c r="C77" s="5">
        <v>56307</v>
      </c>
      <c r="D77" s="6">
        <v>42794</v>
      </c>
      <c r="E77" s="7">
        <v>0.61156985500000005</v>
      </c>
      <c r="F77" s="45">
        <f t="shared" si="1"/>
        <v>1.3100080971020495E-2</v>
      </c>
      <c r="G77" s="7">
        <v>1.692067099</v>
      </c>
      <c r="H77" s="7">
        <v>1.3186262959999999</v>
      </c>
      <c r="I77" s="7">
        <v>1.2868839999999999</v>
      </c>
      <c r="J77" s="7">
        <v>1.1729909999999999</v>
      </c>
      <c r="K77" s="8"/>
      <c r="L77" s="8"/>
      <c r="M77" s="7"/>
      <c r="N77" s="7"/>
      <c r="O77" s="7"/>
      <c r="P77" s="8"/>
      <c r="Q77" s="8"/>
      <c r="R77" s="8"/>
      <c r="S77" s="8"/>
    </row>
    <row r="78" spans="1:19" ht="21" hidden="1" x14ac:dyDescent="0.25">
      <c r="A78" s="3" t="s">
        <v>391</v>
      </c>
      <c r="B78" s="4">
        <v>38.049999999999997</v>
      </c>
      <c r="C78" s="5">
        <v>56492</v>
      </c>
      <c r="D78" s="6">
        <v>42794</v>
      </c>
      <c r="E78" s="7">
        <v>0.60774898899999996</v>
      </c>
      <c r="F78" s="45">
        <f t="shared" si="1"/>
        <v>1.3087866735880306E-2</v>
      </c>
      <c r="G78" s="7">
        <v>1.69623166</v>
      </c>
      <c r="H78" s="7">
        <v>1.3173887719999999</v>
      </c>
      <c r="I78" s="7">
        <v>1.2862290000000001</v>
      </c>
      <c r="J78" s="7">
        <v>1.174037</v>
      </c>
      <c r="K78" s="8"/>
      <c r="L78" s="8"/>
      <c r="M78" s="7"/>
      <c r="N78" s="7"/>
      <c r="O78" s="7"/>
      <c r="P78" s="8"/>
      <c r="Q78" s="8"/>
      <c r="R78" s="8"/>
      <c r="S78" s="8"/>
    </row>
    <row r="79" spans="1:19" ht="21" hidden="1" x14ac:dyDescent="0.25">
      <c r="A79" s="3" t="s">
        <v>82</v>
      </c>
      <c r="B79" s="4">
        <v>38.546999999999997</v>
      </c>
      <c r="C79" s="5">
        <v>56671</v>
      </c>
      <c r="D79" s="6">
        <v>42794</v>
      </c>
      <c r="E79" s="7">
        <v>0.60407476800000004</v>
      </c>
      <c r="F79" s="45">
        <f t="shared" si="1"/>
        <v>1.3076358595260287E-2</v>
      </c>
      <c r="G79" s="7">
        <v>1.700315043</v>
      </c>
      <c r="H79" s="7">
        <v>1.3162228060000001</v>
      </c>
      <c r="I79" s="7">
        <v>1.2856909999999999</v>
      </c>
      <c r="J79" s="7">
        <v>1.1750400000000001</v>
      </c>
      <c r="K79" s="8"/>
      <c r="L79" s="8"/>
      <c r="M79" s="7"/>
      <c r="N79" s="7"/>
      <c r="O79" s="7"/>
      <c r="P79" s="8"/>
      <c r="Q79" s="8"/>
      <c r="R79" s="8"/>
      <c r="S79" s="8"/>
    </row>
    <row r="80" spans="1:19" ht="21" hidden="1" x14ac:dyDescent="0.25">
      <c r="A80" s="3" t="s">
        <v>392</v>
      </c>
      <c r="B80" s="4">
        <v>39.064</v>
      </c>
      <c r="C80" s="5">
        <v>56857</v>
      </c>
      <c r="D80" s="6">
        <v>42794</v>
      </c>
      <c r="E80" s="7">
        <v>0.60028039300000002</v>
      </c>
      <c r="F80" s="45">
        <f t="shared" si="1"/>
        <v>1.3064710805207366E-2</v>
      </c>
      <c r="G80" s="7">
        <v>1.7046130859999999</v>
      </c>
      <c r="H80" s="7">
        <v>1.315042703</v>
      </c>
      <c r="I80" s="7">
        <v>1.285067</v>
      </c>
      <c r="J80" s="7">
        <v>1.1760870000000001</v>
      </c>
      <c r="K80" s="8"/>
      <c r="L80" s="8"/>
      <c r="M80" s="7"/>
      <c r="N80" s="7"/>
      <c r="O80" s="7"/>
      <c r="P80" s="8"/>
      <c r="Q80" s="8"/>
      <c r="R80" s="8"/>
      <c r="S80" s="8"/>
    </row>
    <row r="81" spans="1:19" ht="21" hidden="1" x14ac:dyDescent="0.25">
      <c r="A81" s="3" t="s">
        <v>83</v>
      </c>
      <c r="B81" s="4">
        <v>39.569000000000003</v>
      </c>
      <c r="C81" s="5">
        <v>57039</v>
      </c>
      <c r="D81" s="6">
        <v>42794</v>
      </c>
      <c r="E81" s="7">
        <v>0.59659068900000001</v>
      </c>
      <c r="F81" s="45">
        <f t="shared" si="1"/>
        <v>1.3053607930234719E-2</v>
      </c>
      <c r="G81" s="7">
        <v>1.7088718460000001</v>
      </c>
      <c r="H81" s="7">
        <v>1.3139178220000001</v>
      </c>
      <c r="I81" s="7">
        <v>1.2845489999999999</v>
      </c>
      <c r="J81" s="7">
        <v>1.177101</v>
      </c>
      <c r="K81" s="8"/>
      <c r="L81" s="8"/>
      <c r="M81" s="7"/>
      <c r="N81" s="7"/>
      <c r="O81" s="7"/>
      <c r="P81" s="8"/>
      <c r="Q81" s="8"/>
      <c r="R81" s="8"/>
      <c r="S81" s="8"/>
    </row>
    <row r="82" spans="1:19" ht="21" hidden="1" x14ac:dyDescent="0.25">
      <c r="A82" s="3" t="s">
        <v>393</v>
      </c>
      <c r="B82" s="4">
        <v>40.081000000000003</v>
      </c>
      <c r="C82" s="5">
        <v>57223</v>
      </c>
      <c r="D82" s="6">
        <v>42794</v>
      </c>
      <c r="E82" s="7">
        <v>0.59288349200000001</v>
      </c>
      <c r="F82" s="45">
        <f t="shared" si="1"/>
        <v>1.3042667802804895E-2</v>
      </c>
      <c r="G82" s="7">
        <v>1.713229807</v>
      </c>
      <c r="H82" s="7">
        <v>1.3128094379999999</v>
      </c>
      <c r="I82" s="7">
        <v>1.283962</v>
      </c>
      <c r="J82" s="7">
        <v>1.178131</v>
      </c>
      <c r="K82" s="8"/>
      <c r="L82" s="8"/>
      <c r="M82" s="7"/>
      <c r="N82" s="7"/>
      <c r="O82" s="7"/>
      <c r="P82" s="8"/>
      <c r="Q82" s="8"/>
      <c r="R82" s="8"/>
      <c r="S82" s="8"/>
    </row>
    <row r="83" spans="1:19" x14ac:dyDescent="0.25">
      <c r="A83" s="3" t="s">
        <v>84</v>
      </c>
      <c r="B83" s="4">
        <v>40.582999999999998</v>
      </c>
      <c r="C83" s="5">
        <v>57404</v>
      </c>
      <c r="D83" s="6">
        <v>42794</v>
      </c>
      <c r="E83" s="7">
        <v>0.58925921599999997</v>
      </c>
      <c r="F83" s="45">
        <f t="shared" si="1"/>
        <v>1.3032174876408642E-2</v>
      </c>
      <c r="G83" s="7">
        <v>1.717567165</v>
      </c>
      <c r="H83" s="7">
        <v>1.311746377</v>
      </c>
      <c r="I83" s="7">
        <v>1.2834719999999999</v>
      </c>
      <c r="J83" s="7">
        <v>1.179135</v>
      </c>
      <c r="K83" s="8" t="s">
        <v>19</v>
      </c>
      <c r="L83" s="8" t="s">
        <v>187</v>
      </c>
      <c r="M83" s="7">
        <v>0</v>
      </c>
      <c r="N83" s="7">
        <v>1.302</v>
      </c>
      <c r="O83" s="7">
        <v>1.302</v>
      </c>
      <c r="P83" s="8" t="s">
        <v>42</v>
      </c>
      <c r="Q83" s="8" t="s">
        <v>43</v>
      </c>
      <c r="R83" s="8" t="s">
        <v>22</v>
      </c>
      <c r="S83" s="8" t="s">
        <v>341</v>
      </c>
    </row>
    <row r="84" spans="1:19" ht="21" hidden="1" x14ac:dyDescent="0.25">
      <c r="A84" s="3" t="s">
        <v>394</v>
      </c>
      <c r="B84" s="4">
        <v>41.094000000000001</v>
      </c>
      <c r="C84" s="5">
        <v>57588</v>
      </c>
      <c r="D84" s="6">
        <v>42794</v>
      </c>
      <c r="E84" s="7">
        <v>0.58641580299999996</v>
      </c>
      <c r="F84" s="45">
        <f t="shared" si="1"/>
        <v>1.2987794014660938E-2</v>
      </c>
      <c r="G84" s="7">
        <v>1.7162286879999999</v>
      </c>
      <c r="H84" s="7">
        <v>1.307250174</v>
      </c>
      <c r="I84" s="7">
        <v>1.2803519999999999</v>
      </c>
      <c r="J84" s="7">
        <v>1.1773960000000001</v>
      </c>
      <c r="K84" s="8"/>
      <c r="L84" s="8"/>
      <c r="M84" s="7"/>
      <c r="N84" s="7"/>
      <c r="O84" s="7"/>
      <c r="P84" s="8"/>
      <c r="Q84" s="8"/>
      <c r="R84" s="8"/>
      <c r="S84" s="8"/>
    </row>
    <row r="85" spans="1:19" hidden="1" x14ac:dyDescent="0.25">
      <c r="A85" s="3" t="s">
        <v>85</v>
      </c>
      <c r="B85" s="4">
        <v>41.597000000000001</v>
      </c>
      <c r="C85" s="5">
        <v>57769</v>
      </c>
      <c r="D85" s="6">
        <v>42794</v>
      </c>
      <c r="E85" s="7">
        <v>0.58363213700000005</v>
      </c>
      <c r="F85" s="45">
        <f t="shared" si="1"/>
        <v>1.2945200863325046E-2</v>
      </c>
      <c r="G85" s="7">
        <v>1.7150377080000001</v>
      </c>
      <c r="H85" s="7">
        <v>1.3029352700000001</v>
      </c>
      <c r="I85" s="7">
        <v>1.277409</v>
      </c>
      <c r="J85" s="7">
        <v>1.1756530000000001</v>
      </c>
      <c r="K85" s="8"/>
      <c r="L85" s="8"/>
      <c r="M85" s="7"/>
      <c r="N85" s="7"/>
      <c r="O85" s="7"/>
      <c r="P85" s="8"/>
      <c r="Q85" s="8"/>
      <c r="R85" s="8"/>
      <c r="S85" s="8"/>
    </row>
    <row r="86" spans="1:19" ht="21" hidden="1" x14ac:dyDescent="0.25">
      <c r="A86" s="3" t="s">
        <v>395</v>
      </c>
      <c r="B86" s="4">
        <v>42.106000000000002</v>
      </c>
      <c r="C86" s="5">
        <v>57952</v>
      </c>
      <c r="D86" s="6">
        <v>42794</v>
      </c>
      <c r="E86" s="7">
        <v>0.58083114599999996</v>
      </c>
      <c r="F86" s="45">
        <f t="shared" si="1"/>
        <v>1.2903171177957133E-2</v>
      </c>
      <c r="G86" s="7">
        <v>1.71395615</v>
      </c>
      <c r="H86" s="7">
        <v>1.2986776289999999</v>
      </c>
      <c r="I86" s="7">
        <v>1.274446</v>
      </c>
      <c r="J86" s="7">
        <v>1.173913</v>
      </c>
      <c r="K86" s="8"/>
      <c r="L86" s="8"/>
      <c r="M86" s="7"/>
      <c r="N86" s="7"/>
      <c r="O86" s="7"/>
      <c r="P86" s="8"/>
      <c r="Q86" s="8"/>
      <c r="R86" s="8"/>
      <c r="S86" s="8"/>
    </row>
    <row r="87" spans="1:19" ht="21" hidden="1" x14ac:dyDescent="0.25">
      <c r="A87" s="3" t="s">
        <v>86</v>
      </c>
      <c r="B87" s="4">
        <v>42.610999999999997</v>
      </c>
      <c r="C87" s="5">
        <v>58134</v>
      </c>
      <c r="D87" s="6">
        <v>42794</v>
      </c>
      <c r="E87" s="7">
        <v>0.57805879400000004</v>
      </c>
      <c r="F87" s="45">
        <f t="shared" si="1"/>
        <v>1.2862365741426565E-2</v>
      </c>
      <c r="G87" s="7">
        <v>1.7129988410000001</v>
      </c>
      <c r="H87" s="7">
        <v>1.294544178</v>
      </c>
      <c r="I87" s="7">
        <v>1.27162</v>
      </c>
      <c r="J87" s="7">
        <v>1.172153</v>
      </c>
      <c r="K87" s="8"/>
      <c r="L87" s="8"/>
      <c r="M87" s="7"/>
      <c r="N87" s="7"/>
      <c r="O87" s="7"/>
      <c r="P87" s="8"/>
      <c r="Q87" s="8"/>
      <c r="R87" s="8"/>
      <c r="S87" s="8"/>
    </row>
    <row r="88" spans="1:19" ht="21" hidden="1" x14ac:dyDescent="0.25">
      <c r="A88" s="3" t="s">
        <v>396</v>
      </c>
      <c r="B88" s="4">
        <v>43.116999999999997</v>
      </c>
      <c r="C88" s="5">
        <v>58316</v>
      </c>
      <c r="D88" s="6">
        <v>42794</v>
      </c>
      <c r="E88" s="7">
        <v>0.57529967400000004</v>
      </c>
      <c r="F88" s="45">
        <f t="shared" si="1"/>
        <v>1.2822517242533955E-2</v>
      </c>
      <c r="G88" s="7">
        <v>1.712155826</v>
      </c>
      <c r="H88" s="7">
        <v>1.2905078219999999</v>
      </c>
      <c r="I88" s="7">
        <v>1.268802</v>
      </c>
      <c r="J88" s="7">
        <v>1.1704129999999999</v>
      </c>
      <c r="K88" s="8"/>
      <c r="L88" s="8"/>
      <c r="M88" s="7"/>
      <c r="N88" s="7"/>
      <c r="O88" s="7"/>
      <c r="P88" s="8"/>
      <c r="Q88" s="8"/>
      <c r="R88" s="8"/>
      <c r="S88" s="8"/>
    </row>
    <row r="89" spans="1:19" ht="21" hidden="1" x14ac:dyDescent="0.25">
      <c r="A89" s="3" t="s">
        <v>87</v>
      </c>
      <c r="B89" s="4">
        <v>43.622</v>
      </c>
      <c r="C89" s="5">
        <v>58498</v>
      </c>
      <c r="D89" s="6">
        <v>42794</v>
      </c>
      <c r="E89" s="7">
        <v>0.57255372400000004</v>
      </c>
      <c r="F89" s="45">
        <f t="shared" si="1"/>
        <v>1.2783592364178623E-2</v>
      </c>
      <c r="G89" s="7">
        <v>1.7114235689999999</v>
      </c>
      <c r="H89" s="7">
        <v>1.2865651789999999</v>
      </c>
      <c r="I89" s="7">
        <v>1.2660990000000001</v>
      </c>
      <c r="J89" s="7">
        <v>1.1686460000000001</v>
      </c>
      <c r="K89" s="8"/>
      <c r="L89" s="8"/>
      <c r="M89" s="7"/>
      <c r="N89" s="7"/>
      <c r="O89" s="7"/>
      <c r="P89" s="8"/>
      <c r="Q89" s="8"/>
      <c r="R89" s="8"/>
      <c r="S89" s="8"/>
    </row>
    <row r="90" spans="1:19" ht="21" hidden="1" x14ac:dyDescent="0.25">
      <c r="A90" s="3" t="s">
        <v>397</v>
      </c>
      <c r="B90" s="4">
        <v>44.139000000000003</v>
      </c>
      <c r="C90" s="5">
        <v>58684</v>
      </c>
      <c r="D90" s="6">
        <v>42794</v>
      </c>
      <c r="E90" s="7">
        <v>0.56976096399999998</v>
      </c>
      <c r="F90" s="45">
        <f t="shared" si="1"/>
        <v>1.2744733310566927E-2</v>
      </c>
      <c r="G90" s="7">
        <v>1.710786141</v>
      </c>
      <c r="H90" s="7">
        <v>1.2826293520000001</v>
      </c>
      <c r="I90" s="7">
        <v>1.2633449999999999</v>
      </c>
      <c r="J90" s="7">
        <v>1.1668609999999999</v>
      </c>
      <c r="K90" s="8"/>
      <c r="L90" s="8"/>
      <c r="M90" s="7"/>
      <c r="N90" s="7"/>
      <c r="O90" s="7"/>
      <c r="P90" s="8"/>
      <c r="Q90" s="8"/>
      <c r="R90" s="8"/>
      <c r="S90" s="8"/>
    </row>
    <row r="91" spans="1:19" ht="21" hidden="1" x14ac:dyDescent="0.25">
      <c r="A91" s="3" t="s">
        <v>88</v>
      </c>
      <c r="B91" s="4">
        <v>44.642000000000003</v>
      </c>
      <c r="C91" s="5">
        <v>58865</v>
      </c>
      <c r="D91" s="6">
        <v>42794</v>
      </c>
      <c r="E91" s="7">
        <v>0.56705635799999998</v>
      </c>
      <c r="F91" s="45">
        <f t="shared" si="1"/>
        <v>1.2707782341650743E-2</v>
      </c>
      <c r="G91" s="7">
        <v>1.710270253</v>
      </c>
      <c r="H91" s="7">
        <v>1.2788869329999999</v>
      </c>
      <c r="I91" s="7">
        <v>1.2607729999999999</v>
      </c>
      <c r="J91" s="7">
        <v>1.165097</v>
      </c>
      <c r="K91" s="8"/>
      <c r="L91" s="8"/>
      <c r="M91" s="7"/>
      <c r="N91" s="7"/>
      <c r="O91" s="7"/>
      <c r="P91" s="8"/>
      <c r="Q91" s="8"/>
      <c r="R91" s="8"/>
      <c r="S91" s="8"/>
    </row>
    <row r="92" spans="1:19" ht="21" hidden="1" x14ac:dyDescent="0.25">
      <c r="A92" s="3" t="s">
        <v>398</v>
      </c>
      <c r="B92" s="4">
        <v>45.152999999999999</v>
      </c>
      <c r="C92" s="5">
        <v>59049</v>
      </c>
      <c r="D92" s="6">
        <v>42794</v>
      </c>
      <c r="E92" s="7">
        <v>0.56432008300000003</v>
      </c>
      <c r="F92" s="45">
        <f t="shared" si="1"/>
        <v>1.2671062414598864E-2</v>
      </c>
      <c r="G92" s="7">
        <v>1.709848228</v>
      </c>
      <c r="H92" s="7">
        <v>1.2751680489999999</v>
      </c>
      <c r="I92" s="7">
        <v>1.2581640000000001</v>
      </c>
      <c r="J92" s="7">
        <v>1.163324</v>
      </c>
      <c r="K92" s="8"/>
      <c r="L92" s="8"/>
      <c r="M92" s="7"/>
      <c r="N92" s="7"/>
      <c r="O92" s="7"/>
      <c r="P92" s="8"/>
      <c r="Q92" s="8"/>
      <c r="R92" s="8"/>
      <c r="S92" s="8"/>
    </row>
    <row r="93" spans="1:19" ht="21" hidden="1" x14ac:dyDescent="0.25">
      <c r="A93" s="3" t="s">
        <v>89</v>
      </c>
      <c r="B93" s="4">
        <v>45.655999999999999</v>
      </c>
      <c r="C93" s="5">
        <v>59230</v>
      </c>
      <c r="D93" s="6">
        <v>42794</v>
      </c>
      <c r="E93" s="7">
        <v>0.56164130300000004</v>
      </c>
      <c r="F93" s="45">
        <f t="shared" si="1"/>
        <v>1.2635743377275244E-2</v>
      </c>
      <c r="G93" s="7">
        <v>1.7095309059999999</v>
      </c>
      <c r="H93" s="7">
        <v>1.271591168</v>
      </c>
      <c r="I93" s="7">
        <v>1.2557</v>
      </c>
      <c r="J93" s="7">
        <v>1.1615549999999999</v>
      </c>
      <c r="K93" s="8"/>
      <c r="L93" s="8"/>
      <c r="M93" s="7"/>
      <c r="N93" s="7"/>
      <c r="O93" s="7"/>
      <c r="P93" s="8"/>
      <c r="Q93" s="8"/>
      <c r="R93" s="8"/>
      <c r="S93" s="8"/>
    </row>
    <row r="94" spans="1:19" ht="21" hidden="1" x14ac:dyDescent="0.25">
      <c r="A94" s="3" t="s">
        <v>399</v>
      </c>
      <c r="B94" s="4">
        <v>46.167000000000002</v>
      </c>
      <c r="C94" s="5">
        <v>59414</v>
      </c>
      <c r="D94" s="6">
        <v>42794</v>
      </c>
      <c r="E94" s="7">
        <v>0.55893115800000004</v>
      </c>
      <c r="F94" s="45">
        <f t="shared" si="1"/>
        <v>1.260062741086181E-2</v>
      </c>
      <c r="G94" s="7">
        <v>1.7093049119999999</v>
      </c>
      <c r="H94" s="7">
        <v>1.2680349820000001</v>
      </c>
      <c r="I94" s="7">
        <v>1.253198</v>
      </c>
      <c r="J94" s="7">
        <v>1.159775</v>
      </c>
      <c r="K94" s="8"/>
      <c r="L94" s="8"/>
      <c r="M94" s="7"/>
      <c r="N94" s="7"/>
      <c r="O94" s="7"/>
      <c r="P94" s="8"/>
      <c r="Q94" s="8"/>
      <c r="R94" s="8"/>
      <c r="S94" s="8"/>
    </row>
    <row r="95" spans="1:19" ht="21" hidden="1" x14ac:dyDescent="0.25">
      <c r="A95" s="3" t="s">
        <v>90</v>
      </c>
      <c r="B95" s="4">
        <v>46.668999999999997</v>
      </c>
      <c r="C95" s="5">
        <v>59595</v>
      </c>
      <c r="D95" s="6">
        <v>42794</v>
      </c>
      <c r="E95" s="7">
        <v>0.55627795899999999</v>
      </c>
      <c r="F95" s="45">
        <f t="shared" si="1"/>
        <v>1.2566834475439685E-2</v>
      </c>
      <c r="G95" s="7">
        <v>1.7091749439999999</v>
      </c>
      <c r="H95" s="7">
        <v>1.264612893</v>
      </c>
      <c r="I95" s="7">
        <v>1.2508349999999999</v>
      </c>
      <c r="J95" s="7">
        <v>1.1580010000000001</v>
      </c>
      <c r="K95" s="8"/>
      <c r="L95" s="8"/>
      <c r="M95" s="7"/>
      <c r="N95" s="7"/>
      <c r="O95" s="7"/>
      <c r="P95" s="8"/>
      <c r="Q95" s="8"/>
      <c r="R95" s="8"/>
      <c r="S95" s="8"/>
    </row>
    <row r="96" spans="1:19" ht="21" hidden="1" x14ac:dyDescent="0.25">
      <c r="A96" s="3" t="s">
        <v>400</v>
      </c>
      <c r="B96" s="4">
        <v>47.180999999999997</v>
      </c>
      <c r="C96" s="5">
        <v>59779</v>
      </c>
      <c r="D96" s="6">
        <v>42794</v>
      </c>
      <c r="E96" s="7">
        <v>0.55359369400000003</v>
      </c>
      <c r="F96" s="45">
        <f t="shared" si="1"/>
        <v>1.2533219642638961E-2</v>
      </c>
      <c r="G96" s="7">
        <v>1.7091340859999999</v>
      </c>
      <c r="H96" s="7">
        <v>1.2612089580000001</v>
      </c>
      <c r="I96" s="7">
        <v>1.248434</v>
      </c>
      <c r="J96" s="7">
        <v>1.1562159999999999</v>
      </c>
      <c r="K96" s="8"/>
      <c r="L96" s="8"/>
      <c r="M96" s="7"/>
      <c r="N96" s="7"/>
      <c r="O96" s="7"/>
      <c r="P96" s="8"/>
      <c r="Q96" s="8"/>
      <c r="R96" s="8"/>
      <c r="S96" s="8"/>
    </row>
    <row r="97" spans="1:19" ht="21" hidden="1" x14ac:dyDescent="0.25">
      <c r="A97" s="3" t="s">
        <v>91</v>
      </c>
      <c r="B97" s="4">
        <v>47.686</v>
      </c>
      <c r="C97" s="5">
        <v>59961</v>
      </c>
      <c r="D97" s="6">
        <v>42794</v>
      </c>
      <c r="E97" s="7">
        <v>0.55095134800000001</v>
      </c>
      <c r="F97" s="45">
        <f t="shared" si="1"/>
        <v>1.2500679075703567E-2</v>
      </c>
      <c r="G97" s="7">
        <v>1.7091817220000001</v>
      </c>
      <c r="H97" s="7">
        <v>1.257913914</v>
      </c>
      <c r="I97" s="7">
        <v>1.2461530000000001</v>
      </c>
      <c r="J97" s="7">
        <v>1.154428</v>
      </c>
      <c r="K97" s="8"/>
      <c r="L97" s="8"/>
      <c r="M97" s="7"/>
      <c r="N97" s="7"/>
      <c r="O97" s="7"/>
      <c r="P97" s="8"/>
      <c r="Q97" s="8"/>
      <c r="R97" s="8"/>
      <c r="S97" s="8"/>
    </row>
    <row r="98" spans="1:19" ht="21" hidden="1" x14ac:dyDescent="0.25">
      <c r="A98" s="3" t="s">
        <v>401</v>
      </c>
      <c r="B98" s="4">
        <v>48.192</v>
      </c>
      <c r="C98" s="5">
        <v>60143</v>
      </c>
      <c r="D98" s="6">
        <v>42794</v>
      </c>
      <c r="E98" s="7">
        <v>0.54832161499999998</v>
      </c>
      <c r="F98" s="45">
        <f t="shared" si="1"/>
        <v>1.2468821210440306E-2</v>
      </c>
      <c r="G98" s="7">
        <v>1.7093145759999999</v>
      </c>
      <c r="H98" s="7">
        <v>1.254688107</v>
      </c>
      <c r="I98" s="7">
        <v>1.2438720000000001</v>
      </c>
      <c r="J98" s="7">
        <v>1.152658</v>
      </c>
      <c r="K98" s="8"/>
      <c r="L98" s="8"/>
      <c r="M98" s="7"/>
      <c r="N98" s="7"/>
      <c r="O98" s="7"/>
      <c r="P98" s="8"/>
      <c r="Q98" s="8"/>
      <c r="R98" s="8"/>
      <c r="S98" s="8"/>
    </row>
    <row r="99" spans="1:19" ht="21" hidden="1" x14ac:dyDescent="0.25">
      <c r="A99" s="3" t="s">
        <v>92</v>
      </c>
      <c r="B99" s="4">
        <v>48.697000000000003</v>
      </c>
      <c r="C99" s="5">
        <v>60325</v>
      </c>
      <c r="D99" s="6">
        <v>42794</v>
      </c>
      <c r="E99" s="7">
        <v>0.54570443300000004</v>
      </c>
      <c r="F99" s="45">
        <f t="shared" si="1"/>
        <v>1.2437624851535534E-2</v>
      </c>
      <c r="G99" s="7">
        <v>1.7095304010000001</v>
      </c>
      <c r="H99" s="7">
        <v>1.2515293780000001</v>
      </c>
      <c r="I99" s="7">
        <v>1.2416799999999999</v>
      </c>
      <c r="J99" s="7">
        <v>1.1508670000000001</v>
      </c>
      <c r="K99" s="8"/>
      <c r="L99" s="8"/>
      <c r="M99" s="7"/>
      <c r="N99" s="7"/>
      <c r="O99" s="7"/>
      <c r="P99" s="8"/>
      <c r="Q99" s="8"/>
      <c r="R99" s="8"/>
      <c r="S99" s="8"/>
    </row>
    <row r="100" spans="1:19" ht="21" hidden="1" x14ac:dyDescent="0.25">
      <c r="A100" s="3" t="s">
        <v>402</v>
      </c>
      <c r="B100" s="4">
        <v>49.210999999999999</v>
      </c>
      <c r="C100" s="5">
        <v>60510</v>
      </c>
      <c r="D100" s="6">
        <v>42794</v>
      </c>
      <c r="E100" s="7">
        <v>0.54305691300000003</v>
      </c>
      <c r="F100" s="45">
        <f t="shared" si="1"/>
        <v>1.2406571170632739E-2</v>
      </c>
      <c r="G100" s="7">
        <v>1.709832604</v>
      </c>
      <c r="H100" s="7">
        <v>1.2483851939999999</v>
      </c>
      <c r="I100" s="7">
        <v>1.239452</v>
      </c>
      <c r="J100" s="7">
        <v>1.1490640000000001</v>
      </c>
      <c r="K100" s="8"/>
      <c r="L100" s="8"/>
      <c r="M100" s="7"/>
      <c r="N100" s="7"/>
      <c r="O100" s="7"/>
      <c r="P100" s="8"/>
      <c r="Q100" s="8"/>
      <c r="R100" s="8"/>
      <c r="S100" s="8"/>
    </row>
    <row r="101" spans="1:19" ht="21" hidden="1" x14ac:dyDescent="0.25">
      <c r="A101" s="3" t="s">
        <v>93</v>
      </c>
      <c r="B101" s="4">
        <v>49.707999999999998</v>
      </c>
      <c r="C101" s="5">
        <v>60689</v>
      </c>
      <c r="D101" s="6">
        <v>42794</v>
      </c>
      <c r="E101" s="7">
        <v>0.54050748599999998</v>
      </c>
      <c r="F101" s="45">
        <f t="shared" si="1"/>
        <v>1.237713579601058E-2</v>
      </c>
      <c r="G101" s="7">
        <v>1.710202456</v>
      </c>
      <c r="H101" s="7">
        <v>1.2454049549999999</v>
      </c>
      <c r="I101" s="7">
        <v>1.237379</v>
      </c>
      <c r="J101" s="7">
        <v>1.1473</v>
      </c>
      <c r="K101" s="8"/>
      <c r="L101" s="8"/>
      <c r="M101" s="7"/>
      <c r="N101" s="7"/>
      <c r="O101" s="7"/>
      <c r="P101" s="8"/>
      <c r="Q101" s="8"/>
      <c r="R101" s="8"/>
      <c r="S101" s="8"/>
    </row>
    <row r="102" spans="1:19" ht="21" hidden="1" x14ac:dyDescent="0.25">
      <c r="A102" s="3" t="s">
        <v>403</v>
      </c>
      <c r="B102" s="4">
        <v>50.225000000000001</v>
      </c>
      <c r="C102" s="5">
        <v>60875</v>
      </c>
      <c r="D102" s="6">
        <v>42794</v>
      </c>
      <c r="E102" s="7">
        <v>0.537871039</v>
      </c>
      <c r="F102" s="45">
        <f t="shared" si="1"/>
        <v>1.2347166789746646E-2</v>
      </c>
      <c r="G102" s="7">
        <v>1.710665433</v>
      </c>
      <c r="H102" s="7">
        <v>1.2423707749999999</v>
      </c>
      <c r="I102" s="7">
        <v>1.2352240000000001</v>
      </c>
      <c r="J102" s="7">
        <v>1.1454839999999999</v>
      </c>
      <c r="K102" s="8"/>
      <c r="L102" s="8"/>
      <c r="M102" s="7"/>
      <c r="N102" s="7"/>
      <c r="O102" s="7"/>
      <c r="P102" s="8"/>
      <c r="Q102" s="8"/>
      <c r="R102" s="8"/>
      <c r="S102" s="8"/>
    </row>
    <row r="103" spans="1:19" x14ac:dyDescent="0.25">
      <c r="A103" s="3" t="s">
        <v>94</v>
      </c>
      <c r="B103" s="4">
        <v>50.728000000000002</v>
      </c>
      <c r="C103" s="5">
        <v>61056</v>
      </c>
      <c r="D103" s="6">
        <v>42794</v>
      </c>
      <c r="E103" s="7">
        <v>0.53531781099999998</v>
      </c>
      <c r="F103" s="45">
        <f t="shared" si="1"/>
        <v>1.2318589470698497E-2</v>
      </c>
      <c r="G103" s="7">
        <v>1.7111910319999999</v>
      </c>
      <c r="H103" s="7">
        <v>1.2394775810000001</v>
      </c>
      <c r="I103" s="7">
        <v>1.2332080000000001</v>
      </c>
      <c r="J103" s="7">
        <v>1.143697</v>
      </c>
      <c r="K103" s="8" t="s">
        <v>19</v>
      </c>
      <c r="L103" s="8" t="s">
        <v>187</v>
      </c>
      <c r="M103" s="7">
        <v>0</v>
      </c>
      <c r="N103" s="7">
        <v>1.2509999999999999</v>
      </c>
      <c r="O103" s="7">
        <v>1.2509999999999999</v>
      </c>
      <c r="P103" s="8" t="s">
        <v>42</v>
      </c>
      <c r="Q103" s="8" t="s">
        <v>43</v>
      </c>
      <c r="R103" s="8" t="s">
        <v>22</v>
      </c>
      <c r="S103" s="8" t="s">
        <v>341</v>
      </c>
    </row>
    <row r="104" spans="1:19" ht="21" hidden="1" x14ac:dyDescent="0.25">
      <c r="A104" s="3" t="s">
        <v>404</v>
      </c>
      <c r="B104" s="4">
        <v>51.238999999999997</v>
      </c>
      <c r="C104" s="5">
        <v>61240</v>
      </c>
      <c r="D104" s="6">
        <v>42794</v>
      </c>
      <c r="E104" s="7">
        <v>0.53274364500000004</v>
      </c>
      <c r="F104" s="45">
        <f t="shared" si="1"/>
        <v>1.2289785169074885E-2</v>
      </c>
      <c r="G104" s="7">
        <v>1.7117377760000001</v>
      </c>
      <c r="H104" s="7">
        <v>1.2365614899999999</v>
      </c>
      <c r="I104" s="7">
        <v>1.2311319999999999</v>
      </c>
      <c r="J104" s="7">
        <v>1.1424449999999999</v>
      </c>
      <c r="K104" s="8"/>
      <c r="L104" s="8"/>
      <c r="M104" s="7"/>
      <c r="N104" s="7"/>
      <c r="O104" s="7"/>
      <c r="P104" s="8"/>
      <c r="Q104" s="8"/>
      <c r="R104" s="8"/>
      <c r="S104" s="8"/>
    </row>
    <row r="105" spans="1:19" hidden="1" x14ac:dyDescent="0.25">
      <c r="A105" s="3" t="s">
        <v>95</v>
      </c>
      <c r="B105" s="4">
        <v>51.744</v>
      </c>
      <c r="C105" s="5">
        <v>61422</v>
      </c>
      <c r="D105" s="6">
        <v>42794</v>
      </c>
      <c r="E105" s="7">
        <v>0.53020963700000001</v>
      </c>
      <c r="F105" s="45">
        <f t="shared" si="1"/>
        <v>1.2261853730281531E-2</v>
      </c>
      <c r="G105" s="7">
        <v>1.712350869</v>
      </c>
      <c r="H105" s="7">
        <v>1.233733848</v>
      </c>
      <c r="I105" s="7">
        <v>1.2291589999999999</v>
      </c>
      <c r="J105" s="7">
        <v>1.141192</v>
      </c>
      <c r="K105" s="8"/>
      <c r="L105" s="8"/>
      <c r="M105" s="7"/>
      <c r="N105" s="7"/>
      <c r="O105" s="7"/>
      <c r="P105" s="8"/>
      <c r="Q105" s="8"/>
      <c r="R105" s="8"/>
      <c r="S105" s="8"/>
    </row>
    <row r="106" spans="1:19" ht="21" hidden="1" x14ac:dyDescent="0.25">
      <c r="A106" s="3" t="s">
        <v>405</v>
      </c>
      <c r="B106" s="4">
        <v>52.256</v>
      </c>
      <c r="C106" s="5">
        <v>61606</v>
      </c>
      <c r="D106" s="6">
        <v>42794</v>
      </c>
      <c r="E106" s="7">
        <v>0.52766003399999994</v>
      </c>
      <c r="F106" s="45">
        <f t="shared" si="1"/>
        <v>1.2234164786033687E-2</v>
      </c>
      <c r="G106" s="7">
        <v>1.7130420470000001</v>
      </c>
      <c r="H106" s="7">
        <v>1.2309308290000001</v>
      </c>
      <c r="I106" s="7">
        <v>1.22716</v>
      </c>
      <c r="J106" s="7">
        <v>1.139937</v>
      </c>
      <c r="K106" s="8"/>
      <c r="L106" s="8"/>
      <c r="M106" s="7"/>
      <c r="N106" s="7"/>
      <c r="O106" s="7"/>
      <c r="P106" s="8"/>
      <c r="Q106" s="8"/>
      <c r="R106" s="8"/>
      <c r="S106" s="8"/>
    </row>
    <row r="107" spans="1:19" ht="21" hidden="1" x14ac:dyDescent="0.25">
      <c r="A107" s="3" t="s">
        <v>96</v>
      </c>
      <c r="B107" s="4">
        <v>52.758000000000003</v>
      </c>
      <c r="C107" s="5">
        <v>61787</v>
      </c>
      <c r="D107" s="6">
        <v>42794</v>
      </c>
      <c r="E107" s="7">
        <v>0.52516396399999998</v>
      </c>
      <c r="F107" s="45">
        <f t="shared" si="1"/>
        <v>1.2207450692192465E-2</v>
      </c>
      <c r="G107" s="7">
        <v>1.7137903210000001</v>
      </c>
      <c r="H107" s="7">
        <v>1.2282265750000001</v>
      </c>
      <c r="I107" s="7">
        <v>1.2252700000000001</v>
      </c>
      <c r="J107" s="7">
        <v>1.1386890000000001</v>
      </c>
      <c r="K107" s="8"/>
      <c r="L107" s="8"/>
      <c r="M107" s="7"/>
      <c r="N107" s="7"/>
      <c r="O107" s="7"/>
      <c r="P107" s="8"/>
      <c r="Q107" s="8"/>
      <c r="R107" s="8"/>
      <c r="S107" s="8"/>
    </row>
    <row r="108" spans="1:19" ht="21" hidden="1" x14ac:dyDescent="0.25">
      <c r="A108" s="3" t="s">
        <v>406</v>
      </c>
      <c r="B108" s="4">
        <v>53.267000000000003</v>
      </c>
      <c r="C108" s="5">
        <v>61970</v>
      </c>
      <c r="D108" s="6">
        <v>42794</v>
      </c>
      <c r="E108" s="7">
        <v>0.52265231599999995</v>
      </c>
      <c r="F108" s="45">
        <f t="shared" si="1"/>
        <v>1.2180954137975351E-2</v>
      </c>
      <c r="G108" s="7">
        <v>1.7146142150000001</v>
      </c>
      <c r="H108" s="7">
        <v>1.2255444099999999</v>
      </c>
      <c r="I108" s="7">
        <v>1.223355</v>
      </c>
      <c r="J108" s="7">
        <v>1.137437</v>
      </c>
      <c r="K108" s="8"/>
      <c r="L108" s="8"/>
      <c r="M108" s="7"/>
      <c r="N108" s="7"/>
      <c r="O108" s="7"/>
      <c r="P108" s="8"/>
      <c r="Q108" s="8"/>
      <c r="R108" s="8"/>
      <c r="S108" s="8"/>
    </row>
    <row r="109" spans="1:19" ht="21" hidden="1" x14ac:dyDescent="0.25">
      <c r="A109" s="3" t="s">
        <v>97</v>
      </c>
      <c r="B109" s="4">
        <v>53.771999999999998</v>
      </c>
      <c r="C109" s="5">
        <v>62152</v>
      </c>
      <c r="D109" s="6">
        <v>42794</v>
      </c>
      <c r="E109" s="7">
        <v>0.52016630699999999</v>
      </c>
      <c r="F109" s="45">
        <f t="shared" si="1"/>
        <v>1.2155099238479825E-2</v>
      </c>
      <c r="G109" s="7">
        <v>1.7154992650000001</v>
      </c>
      <c r="H109" s="7">
        <v>1.2229272659999999</v>
      </c>
      <c r="I109" s="7">
        <v>1.2215229999999999</v>
      </c>
      <c r="J109" s="7">
        <v>1.13618</v>
      </c>
      <c r="K109" s="8"/>
      <c r="L109" s="8"/>
      <c r="M109" s="7"/>
      <c r="N109" s="7"/>
      <c r="O109" s="7"/>
      <c r="P109" s="8"/>
      <c r="Q109" s="8"/>
      <c r="R109" s="8"/>
      <c r="S109" s="8"/>
    </row>
    <row r="110" spans="1:19" ht="21" hidden="1" x14ac:dyDescent="0.25">
      <c r="A110" s="3" t="s">
        <v>407</v>
      </c>
      <c r="B110" s="4">
        <v>54.277999999999999</v>
      </c>
      <c r="C110" s="5">
        <v>62334</v>
      </c>
      <c r="D110" s="6">
        <v>42794</v>
      </c>
      <c r="E110" s="7">
        <v>0.517692123</v>
      </c>
      <c r="F110" s="45">
        <f t="shared" si="1"/>
        <v>1.2129725967434245E-2</v>
      </c>
      <c r="G110" s="7">
        <v>1.716448346</v>
      </c>
      <c r="H110" s="7">
        <v>1.2203589420000001</v>
      </c>
      <c r="I110" s="7">
        <v>1.219686</v>
      </c>
      <c r="J110" s="7">
        <v>1.134933</v>
      </c>
      <c r="K110" s="8"/>
      <c r="L110" s="8"/>
      <c r="M110" s="7"/>
      <c r="N110" s="7"/>
      <c r="O110" s="7"/>
      <c r="P110" s="8"/>
      <c r="Q110" s="8"/>
      <c r="R110" s="8"/>
      <c r="S110" s="8"/>
    </row>
    <row r="111" spans="1:19" ht="21" hidden="1" x14ac:dyDescent="0.25">
      <c r="A111" s="3" t="s">
        <v>98</v>
      </c>
      <c r="B111" s="4">
        <v>54.783000000000001</v>
      </c>
      <c r="C111" s="5">
        <v>62516</v>
      </c>
      <c r="D111" s="6">
        <v>42794</v>
      </c>
      <c r="E111" s="7">
        <v>0.51522970800000001</v>
      </c>
      <c r="F111" s="45">
        <f t="shared" si="1"/>
        <v>1.2104820982250642E-2</v>
      </c>
      <c r="G111" s="7">
        <v>1.717460064</v>
      </c>
      <c r="H111" s="7">
        <v>1.217838084</v>
      </c>
      <c r="I111" s="7">
        <v>1.217919</v>
      </c>
      <c r="J111" s="7">
        <v>1.1336729999999999</v>
      </c>
      <c r="K111" s="8"/>
      <c r="L111" s="8"/>
      <c r="M111" s="7"/>
      <c r="N111" s="7"/>
      <c r="O111" s="7"/>
      <c r="P111" s="8"/>
      <c r="Q111" s="8"/>
      <c r="R111" s="8"/>
      <c r="S111" s="8"/>
    </row>
    <row r="112" spans="1:19" ht="21" hidden="1" x14ac:dyDescent="0.25">
      <c r="A112" s="3" t="s">
        <v>408</v>
      </c>
      <c r="B112" s="4">
        <v>55.296999999999997</v>
      </c>
      <c r="C112" s="5">
        <v>62701</v>
      </c>
      <c r="D112" s="6">
        <v>42794</v>
      </c>
      <c r="E112" s="7">
        <v>0.51273870700000002</v>
      </c>
      <c r="F112" s="45">
        <f t="shared" si="1"/>
        <v>1.2079972190395043E-2</v>
      </c>
      <c r="G112" s="7">
        <v>1.718551275</v>
      </c>
      <c r="H112" s="7">
        <v>1.2153229750000001</v>
      </c>
      <c r="I112" s="7">
        <v>1.216118</v>
      </c>
      <c r="J112" s="7">
        <v>1.132403</v>
      </c>
      <c r="K112" s="8"/>
      <c r="L112" s="8"/>
      <c r="M112" s="7"/>
      <c r="N112" s="7"/>
      <c r="O112" s="7"/>
      <c r="P112" s="8"/>
      <c r="Q112" s="8"/>
      <c r="R112" s="8"/>
      <c r="S112" s="8"/>
    </row>
    <row r="113" spans="1:19" ht="21" hidden="1" x14ac:dyDescent="0.25">
      <c r="A113" s="3" t="s">
        <v>99</v>
      </c>
      <c r="B113" s="4">
        <v>55.802999999999997</v>
      </c>
      <c r="C113" s="5">
        <v>62883</v>
      </c>
      <c r="D113" s="6">
        <v>42794</v>
      </c>
      <c r="E113" s="7">
        <v>0.51029985200000005</v>
      </c>
      <c r="F113" s="45">
        <f t="shared" si="1"/>
        <v>1.205597297713088E-2</v>
      </c>
      <c r="G113" s="7">
        <v>1.719685283</v>
      </c>
      <c r="H113" s="7">
        <v>1.2128939139999999</v>
      </c>
      <c r="I113" s="7">
        <v>1.2144140000000001</v>
      </c>
      <c r="J113" s="7">
        <v>1.131141</v>
      </c>
      <c r="K113" s="8"/>
      <c r="L113" s="8"/>
      <c r="M113" s="7"/>
      <c r="N113" s="7"/>
      <c r="O113" s="7"/>
      <c r="P113" s="8"/>
      <c r="Q113" s="8"/>
      <c r="R113" s="8"/>
      <c r="S113" s="8"/>
    </row>
    <row r="114" spans="1:19" ht="21" hidden="1" x14ac:dyDescent="0.25">
      <c r="A114" s="3" t="s">
        <v>409</v>
      </c>
      <c r="B114" s="4">
        <v>56.314</v>
      </c>
      <c r="C114" s="5">
        <v>63067</v>
      </c>
      <c r="D114" s="6">
        <v>42794</v>
      </c>
      <c r="E114" s="7">
        <v>0.507845989</v>
      </c>
      <c r="F114" s="45">
        <f t="shared" si="1"/>
        <v>1.2032148054383173E-2</v>
      </c>
      <c r="G114" s="7">
        <v>1.72089147</v>
      </c>
      <c r="H114" s="7">
        <v>1.2104825530000001</v>
      </c>
      <c r="I114" s="7">
        <v>1.2126840000000001</v>
      </c>
      <c r="J114" s="7">
        <v>1.1298760000000001</v>
      </c>
      <c r="K114" s="8"/>
      <c r="L114" s="8"/>
      <c r="M114" s="7"/>
      <c r="N114" s="7"/>
      <c r="O114" s="7"/>
      <c r="P114" s="8"/>
      <c r="Q114" s="8"/>
      <c r="R114" s="8"/>
      <c r="S114" s="8"/>
    </row>
    <row r="115" spans="1:19" ht="21" hidden="1" x14ac:dyDescent="0.25">
      <c r="A115" s="3" t="s">
        <v>100</v>
      </c>
      <c r="B115" s="4">
        <v>56.817</v>
      </c>
      <c r="C115" s="5">
        <v>63248</v>
      </c>
      <c r="D115" s="6">
        <v>42794</v>
      </c>
      <c r="E115" s="7">
        <v>0.50544364799999997</v>
      </c>
      <c r="F115" s="45">
        <f t="shared" si="1"/>
        <v>1.20091297943184E-2</v>
      </c>
      <c r="G115" s="7">
        <v>1.7221353829999999</v>
      </c>
      <c r="H115" s="7">
        <v>1.2081528909999999</v>
      </c>
      <c r="I115" s="7">
        <v>1.2110479999999999</v>
      </c>
      <c r="J115" s="7">
        <v>1.128619</v>
      </c>
      <c r="K115" s="8"/>
      <c r="L115" s="8"/>
      <c r="M115" s="7"/>
      <c r="N115" s="7"/>
      <c r="O115" s="7"/>
      <c r="P115" s="8"/>
      <c r="Q115" s="8"/>
      <c r="R115" s="8"/>
      <c r="S115" s="8"/>
    </row>
    <row r="116" spans="1:19" ht="21" hidden="1" x14ac:dyDescent="0.25">
      <c r="A116" s="3" t="s">
        <v>410</v>
      </c>
      <c r="B116" s="4">
        <v>57.328000000000003</v>
      </c>
      <c r="C116" s="5">
        <v>63432</v>
      </c>
      <c r="D116" s="6">
        <v>42794</v>
      </c>
      <c r="E116" s="7">
        <v>0.50301313700000005</v>
      </c>
      <c r="F116" s="45">
        <f t="shared" si="1"/>
        <v>1.1986143865384304E-2</v>
      </c>
      <c r="G116" s="7">
        <v>1.7234570849999999</v>
      </c>
      <c r="H116" s="7">
        <v>1.2058265539999999</v>
      </c>
      <c r="I116" s="7">
        <v>1.209376</v>
      </c>
      <c r="J116" s="7">
        <v>1.1273519999999999</v>
      </c>
      <c r="K116" s="8"/>
      <c r="L116" s="8"/>
      <c r="M116" s="7"/>
      <c r="N116" s="7"/>
      <c r="O116" s="7"/>
      <c r="P116" s="8"/>
      <c r="Q116" s="8"/>
      <c r="R116" s="8"/>
      <c r="S116" s="8"/>
    </row>
    <row r="117" spans="1:19" ht="21" hidden="1" x14ac:dyDescent="0.25">
      <c r="A117" s="3" t="s">
        <v>101</v>
      </c>
      <c r="B117" s="4">
        <v>57.831000000000003</v>
      </c>
      <c r="C117" s="5">
        <v>63613</v>
      </c>
      <c r="D117" s="6">
        <v>42794</v>
      </c>
      <c r="E117" s="7">
        <v>0.50063365800000004</v>
      </c>
      <c r="F117" s="45">
        <f t="shared" si="1"/>
        <v>1.1963929107725315E-2</v>
      </c>
      <c r="G117" s="7">
        <v>1.7248123719999999</v>
      </c>
      <c r="H117" s="7">
        <v>1.2035783179999999</v>
      </c>
      <c r="I117" s="7">
        <v>1.207795</v>
      </c>
      <c r="J117" s="7">
        <v>1.1260939999999999</v>
      </c>
      <c r="K117" s="8"/>
      <c r="L117" s="8"/>
      <c r="M117" s="7"/>
      <c r="N117" s="7"/>
      <c r="O117" s="7"/>
      <c r="P117" s="8"/>
      <c r="Q117" s="8"/>
      <c r="R117" s="8"/>
      <c r="S117" s="8"/>
    </row>
    <row r="118" spans="1:19" ht="21" hidden="1" x14ac:dyDescent="0.25">
      <c r="A118" s="3" t="s">
        <v>411</v>
      </c>
      <c r="B118" s="4">
        <v>58.341999999999999</v>
      </c>
      <c r="C118" s="5">
        <v>63797</v>
      </c>
      <c r="D118" s="6">
        <v>42794</v>
      </c>
      <c r="E118" s="7">
        <v>0.49822627600000002</v>
      </c>
      <c r="F118" s="45">
        <f t="shared" si="1"/>
        <v>1.1941738648892315E-2</v>
      </c>
      <c r="G118" s="7">
        <v>1.7262450840000001</v>
      </c>
      <c r="H118" s="7">
        <v>1.201332587</v>
      </c>
      <c r="I118" s="7">
        <v>1.2061789999999999</v>
      </c>
      <c r="J118" s="7">
        <v>1.124825</v>
      </c>
      <c r="K118" s="8"/>
      <c r="L118" s="8"/>
      <c r="M118" s="7"/>
      <c r="N118" s="7"/>
      <c r="O118" s="7"/>
      <c r="P118" s="8"/>
      <c r="Q118" s="8"/>
      <c r="R118" s="8"/>
      <c r="S118" s="8"/>
    </row>
    <row r="119" spans="1:19" ht="21" hidden="1" x14ac:dyDescent="0.25">
      <c r="A119" s="3" t="s">
        <v>102</v>
      </c>
      <c r="B119" s="4">
        <v>58.844000000000001</v>
      </c>
      <c r="C119" s="5">
        <v>63978</v>
      </c>
      <c r="D119" s="6">
        <v>42794</v>
      </c>
      <c r="E119" s="7">
        <v>0.49586944100000002</v>
      </c>
      <c r="F119" s="45">
        <f t="shared" si="1"/>
        <v>1.1920286057917204E-2</v>
      </c>
      <c r="G119" s="7">
        <v>1.7277074750000001</v>
      </c>
      <c r="H119" s="7">
        <v>1.199161581</v>
      </c>
      <c r="I119" s="7">
        <v>1.2046509999999999</v>
      </c>
      <c r="J119" s="7">
        <v>1.1235660000000001</v>
      </c>
      <c r="K119" s="8"/>
      <c r="L119" s="8"/>
      <c r="M119" s="7"/>
      <c r="N119" s="7"/>
      <c r="O119" s="7"/>
      <c r="P119" s="8"/>
      <c r="Q119" s="8"/>
      <c r="R119" s="8"/>
      <c r="S119" s="8"/>
    </row>
    <row r="120" spans="1:19" ht="21" hidden="1" x14ac:dyDescent="0.25">
      <c r="A120" s="3" t="s">
        <v>412</v>
      </c>
      <c r="B120" s="4">
        <v>59.353000000000002</v>
      </c>
      <c r="C120" s="5">
        <v>64161</v>
      </c>
      <c r="D120" s="6">
        <v>42794</v>
      </c>
      <c r="E120" s="7">
        <v>0.49349789700000002</v>
      </c>
      <c r="F120" s="45">
        <f t="shared" si="1"/>
        <v>1.1898965944948213E-2</v>
      </c>
      <c r="G120" s="7">
        <v>1.729238504</v>
      </c>
      <c r="H120" s="7">
        <v>1.1970040260000001</v>
      </c>
      <c r="I120" s="7">
        <v>1.2030959999999999</v>
      </c>
      <c r="J120" s="7">
        <v>1.1223030000000001</v>
      </c>
      <c r="K120" s="8"/>
      <c r="L120" s="8"/>
      <c r="M120" s="7"/>
      <c r="N120" s="7"/>
      <c r="O120" s="7"/>
      <c r="P120" s="8"/>
      <c r="Q120" s="8"/>
      <c r="R120" s="8"/>
      <c r="S120" s="8"/>
    </row>
    <row r="121" spans="1:19" ht="21" hidden="1" x14ac:dyDescent="0.25">
      <c r="A121" s="3" t="s">
        <v>103</v>
      </c>
      <c r="B121" s="4">
        <v>59.857999999999997</v>
      </c>
      <c r="C121" s="5">
        <v>64343</v>
      </c>
      <c r="D121" s="6">
        <v>42794</v>
      </c>
      <c r="E121" s="7">
        <v>0.49115056200000001</v>
      </c>
      <c r="F121" s="45">
        <f t="shared" si="1"/>
        <v>1.1878121474736962E-2</v>
      </c>
      <c r="G121" s="7">
        <v>1.7308125409999999</v>
      </c>
      <c r="H121" s="7">
        <v>1.1948946499999999</v>
      </c>
      <c r="I121" s="7">
        <v>1.2016089999999999</v>
      </c>
      <c r="J121" s="7">
        <v>1.121035</v>
      </c>
      <c r="K121" s="8"/>
      <c r="L121" s="8"/>
      <c r="M121" s="7"/>
      <c r="N121" s="7"/>
      <c r="O121" s="7"/>
      <c r="P121" s="8"/>
      <c r="Q121" s="8"/>
      <c r="R121" s="8"/>
      <c r="S121" s="8"/>
    </row>
    <row r="122" spans="1:19" ht="21" hidden="1" x14ac:dyDescent="0.25">
      <c r="A122" s="3" t="s">
        <v>413</v>
      </c>
      <c r="B122" s="4">
        <v>60.372</v>
      </c>
      <c r="C122" s="5">
        <v>64528</v>
      </c>
      <c r="D122" s="6">
        <v>42794</v>
      </c>
      <c r="E122" s="7">
        <v>0.48877597699999997</v>
      </c>
      <c r="F122" s="45">
        <f t="shared" si="1"/>
        <v>1.1857291199053261E-2</v>
      </c>
      <c r="G122" s="7">
        <v>1.73246408</v>
      </c>
      <c r="H122" s="7">
        <v>1.1927867539999999</v>
      </c>
      <c r="I122" s="7">
        <v>1.200088</v>
      </c>
      <c r="J122" s="7">
        <v>1.1197569999999999</v>
      </c>
      <c r="K122" s="8"/>
      <c r="L122" s="8"/>
      <c r="M122" s="7"/>
      <c r="N122" s="7"/>
      <c r="O122" s="7"/>
      <c r="P122" s="8"/>
      <c r="Q122" s="8"/>
      <c r="R122" s="8"/>
      <c r="S122" s="8"/>
    </row>
    <row r="123" spans="1:19" x14ac:dyDescent="0.25">
      <c r="A123" s="3" t="s">
        <v>104</v>
      </c>
      <c r="B123" s="4">
        <v>60.869</v>
      </c>
      <c r="C123" s="5">
        <v>64707</v>
      </c>
      <c r="D123" s="6">
        <v>42794</v>
      </c>
      <c r="E123" s="7">
        <v>0.48648933500000002</v>
      </c>
      <c r="F123" s="45">
        <f t="shared" si="1"/>
        <v>1.1837471264339554E-2</v>
      </c>
      <c r="G123" s="7">
        <v>1.7341106550000001</v>
      </c>
      <c r="H123" s="7">
        <v>1.1907811420000001</v>
      </c>
      <c r="I123" s="7">
        <v>1.198672</v>
      </c>
      <c r="J123" s="7">
        <v>1.1185099999999999</v>
      </c>
      <c r="K123" s="8" t="s">
        <v>19</v>
      </c>
      <c r="L123" s="8" t="s">
        <v>187</v>
      </c>
      <c r="M123" s="7">
        <v>0</v>
      </c>
      <c r="N123" s="7">
        <v>1.216</v>
      </c>
      <c r="O123" s="7">
        <v>1.216</v>
      </c>
      <c r="P123" s="8" t="s">
        <v>42</v>
      </c>
      <c r="Q123" s="8" t="s">
        <v>43</v>
      </c>
      <c r="R123" s="8" t="s">
        <v>22</v>
      </c>
      <c r="S123" s="8" t="s">
        <v>341</v>
      </c>
    </row>
  </sheetData>
  <autoFilter ref="A1:S123">
    <filterColumn colId="10">
      <customFilters>
        <customFilter operator="notEqual" val=" 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81"/>
  <sheetViews>
    <sheetView workbookViewId="0">
      <selection activeCell="V26" sqref="V26"/>
    </sheetView>
  </sheetViews>
  <sheetFormatPr defaultRowHeight="15" x14ac:dyDescent="0.25"/>
  <cols>
    <col min="3" max="3" width="9.85546875" bestFit="1" customWidth="1"/>
  </cols>
  <sheetData>
    <row r="1" spans="1:18" ht="39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3" t="s">
        <v>18</v>
      </c>
      <c r="B2" s="4">
        <v>8.0000000000000002E-3</v>
      </c>
      <c r="C2" s="5">
        <v>42793</v>
      </c>
      <c r="D2" s="6">
        <v>42790</v>
      </c>
      <c r="E2" s="7">
        <v>1.0000333340000001</v>
      </c>
      <c r="F2" s="7">
        <v>-0.4</v>
      </c>
      <c r="G2" s="7">
        <v>-0.399207706</v>
      </c>
      <c r="H2" s="7">
        <v>-0.4</v>
      </c>
      <c r="I2" s="7">
        <v>-0.39920800000000001</v>
      </c>
      <c r="J2" s="8" t="s">
        <v>19</v>
      </c>
      <c r="K2" s="8"/>
      <c r="L2" s="7">
        <v>0</v>
      </c>
      <c r="M2" s="7">
        <v>-0.4</v>
      </c>
      <c r="N2" s="7">
        <v>-0.4</v>
      </c>
      <c r="O2" s="8" t="s">
        <v>20</v>
      </c>
      <c r="P2" s="8" t="s">
        <v>21</v>
      </c>
      <c r="Q2" s="8" t="s">
        <v>22</v>
      </c>
      <c r="R2" s="8" t="s">
        <v>23</v>
      </c>
    </row>
    <row r="3" spans="1:18" x14ac:dyDescent="0.25">
      <c r="A3" s="3" t="s">
        <v>24</v>
      </c>
      <c r="B3" s="4">
        <v>3.0000000000000001E-3</v>
      </c>
      <c r="C3" s="5">
        <v>42794</v>
      </c>
      <c r="D3" s="6">
        <v>42793</v>
      </c>
      <c r="E3" s="7">
        <v>1.0000111110000001</v>
      </c>
      <c r="F3" s="7">
        <v>-0.4</v>
      </c>
      <c r="G3" s="7">
        <v>-0.39920327900000002</v>
      </c>
      <c r="H3" s="7">
        <v>-0.4</v>
      </c>
      <c r="I3" s="7">
        <v>-0.399204</v>
      </c>
      <c r="J3" s="8" t="s">
        <v>19</v>
      </c>
      <c r="K3" s="8"/>
      <c r="L3" s="7">
        <v>0</v>
      </c>
      <c r="M3" s="7">
        <v>-0.4</v>
      </c>
      <c r="N3" s="7">
        <v>-0.4</v>
      </c>
      <c r="O3" s="8" t="s">
        <v>20</v>
      </c>
      <c r="P3" s="8" t="s">
        <v>21</v>
      </c>
      <c r="Q3" s="8" t="s">
        <v>22</v>
      </c>
      <c r="R3" s="8" t="s">
        <v>23</v>
      </c>
    </row>
    <row r="4" spans="1:18" x14ac:dyDescent="0.25">
      <c r="A4" s="3" t="s">
        <v>25</v>
      </c>
      <c r="B4" s="4">
        <v>3.0000000000000001E-3</v>
      </c>
      <c r="C4" s="5">
        <v>42795</v>
      </c>
      <c r="D4" s="6">
        <v>42794</v>
      </c>
      <c r="E4" s="7">
        <v>1.0000116670000001</v>
      </c>
      <c r="F4" s="7">
        <v>-0.42</v>
      </c>
      <c r="G4" s="7">
        <v>-0.41912167299999997</v>
      </c>
      <c r="H4" s="7">
        <v>-0.42</v>
      </c>
      <c r="I4" s="7">
        <v>-0.41912199999999999</v>
      </c>
      <c r="J4" s="8" t="s">
        <v>19</v>
      </c>
      <c r="K4" s="8"/>
      <c r="L4" s="7">
        <v>0</v>
      </c>
      <c r="M4" s="7">
        <v>-0.42</v>
      </c>
      <c r="N4" s="7">
        <v>-0.42</v>
      </c>
      <c r="O4" s="8" t="s">
        <v>20</v>
      </c>
      <c r="P4" s="8" t="s">
        <v>21</v>
      </c>
      <c r="Q4" s="8" t="s">
        <v>22</v>
      </c>
      <c r="R4" s="8" t="s">
        <v>23</v>
      </c>
    </row>
    <row r="5" spans="1:18" x14ac:dyDescent="0.25">
      <c r="A5" s="3" t="s">
        <v>26</v>
      </c>
      <c r="B5" s="4">
        <v>1.9E-2</v>
      </c>
      <c r="C5" s="5">
        <v>42801</v>
      </c>
      <c r="D5" s="6">
        <v>42794</v>
      </c>
      <c r="E5" s="7">
        <v>1.000068449</v>
      </c>
      <c r="F5" s="7">
        <v>-0.35199999999999998</v>
      </c>
      <c r="G5" s="7">
        <v>-0.35139321099999998</v>
      </c>
      <c r="H5" s="7">
        <v>-0.35199999999999998</v>
      </c>
      <c r="I5" s="7">
        <v>-0.35139300000000001</v>
      </c>
      <c r="J5" s="8" t="s">
        <v>19</v>
      </c>
      <c r="K5" s="8"/>
      <c r="L5" s="7">
        <v>0</v>
      </c>
      <c r="M5" s="7">
        <v>-0.35199999999999998</v>
      </c>
      <c r="N5" s="7">
        <v>-0.35199999999999998</v>
      </c>
      <c r="O5" s="8" t="s">
        <v>20</v>
      </c>
      <c r="P5" s="8" t="s">
        <v>21</v>
      </c>
      <c r="Q5" s="8" t="s">
        <v>22</v>
      </c>
      <c r="R5" s="8" t="s">
        <v>23</v>
      </c>
    </row>
    <row r="6" spans="1:18" x14ac:dyDescent="0.25">
      <c r="A6" s="3" t="s">
        <v>27</v>
      </c>
      <c r="B6" s="4">
        <v>3.9E-2</v>
      </c>
      <c r="C6" s="5">
        <v>42808</v>
      </c>
      <c r="D6" s="6">
        <v>42794</v>
      </c>
      <c r="E6" s="7">
        <v>1.000137297</v>
      </c>
      <c r="F6" s="7">
        <v>-0.35299999999999998</v>
      </c>
      <c r="G6" s="7">
        <v>-0.35240183400000002</v>
      </c>
      <c r="H6" s="7">
        <v>-0.35299999999999998</v>
      </c>
      <c r="I6" s="7">
        <v>-0.35240199999999999</v>
      </c>
      <c r="J6" s="8" t="s">
        <v>19</v>
      </c>
      <c r="K6" s="8"/>
      <c r="L6" s="7">
        <v>0</v>
      </c>
      <c r="M6" s="7">
        <v>-0.35299999999999998</v>
      </c>
      <c r="N6" s="7">
        <v>-0.35299999999999998</v>
      </c>
      <c r="O6" s="8" t="s">
        <v>20</v>
      </c>
      <c r="P6" s="8" t="s">
        <v>21</v>
      </c>
      <c r="Q6" s="8" t="s">
        <v>22</v>
      </c>
      <c r="R6" s="8" t="s">
        <v>23</v>
      </c>
    </row>
    <row r="7" spans="1:18" x14ac:dyDescent="0.25">
      <c r="A7" s="3" t="s">
        <v>28</v>
      </c>
      <c r="B7" s="4">
        <v>5.8000000000000003E-2</v>
      </c>
      <c r="C7" s="5">
        <v>42815</v>
      </c>
      <c r="D7" s="6">
        <v>42794</v>
      </c>
      <c r="E7" s="7">
        <v>1.000206543</v>
      </c>
      <c r="F7" s="7">
        <v>-0.35399999999999998</v>
      </c>
      <c r="G7" s="7">
        <v>-0.35341058600000003</v>
      </c>
      <c r="H7" s="7">
        <v>-0.35399999999999998</v>
      </c>
      <c r="I7" s="7">
        <v>-0.35341099999999998</v>
      </c>
      <c r="J7" s="8" t="s">
        <v>19</v>
      </c>
      <c r="K7" s="8"/>
      <c r="L7" s="7">
        <v>0</v>
      </c>
      <c r="M7" s="7">
        <v>-0.35399999999999998</v>
      </c>
      <c r="N7" s="7">
        <v>-0.35399999999999998</v>
      </c>
      <c r="O7" s="8" t="s">
        <v>20</v>
      </c>
      <c r="P7" s="8" t="s">
        <v>21</v>
      </c>
      <c r="Q7" s="8" t="s">
        <v>22</v>
      </c>
      <c r="R7" s="8" t="s">
        <v>23</v>
      </c>
    </row>
    <row r="8" spans="1:18" x14ac:dyDescent="0.25">
      <c r="A8" s="3" t="s">
        <v>29</v>
      </c>
      <c r="B8" s="4">
        <v>8.5999999999999993E-2</v>
      </c>
      <c r="C8" s="5">
        <v>42825</v>
      </c>
      <c r="D8" s="6">
        <v>42794</v>
      </c>
      <c r="E8" s="7">
        <v>1.0003049260000001</v>
      </c>
      <c r="F8" s="7">
        <v>-0.35399999999999998</v>
      </c>
      <c r="G8" s="7">
        <v>-0.353427934</v>
      </c>
      <c r="H8" s="7">
        <v>-0.35399999999999998</v>
      </c>
      <c r="I8" s="7">
        <v>-0.35342800000000002</v>
      </c>
      <c r="J8" s="8" t="s">
        <v>19</v>
      </c>
      <c r="K8" s="8"/>
      <c r="L8" s="7">
        <v>0</v>
      </c>
      <c r="M8" s="7">
        <v>-0.35399999999999998</v>
      </c>
      <c r="N8" s="7">
        <v>-0.35399999999999998</v>
      </c>
      <c r="O8" s="8" t="s">
        <v>20</v>
      </c>
      <c r="P8" s="8" t="s">
        <v>21</v>
      </c>
      <c r="Q8" s="8" t="s">
        <v>22</v>
      </c>
      <c r="R8" s="8" t="s">
        <v>23</v>
      </c>
    </row>
    <row r="9" spans="1:18" x14ac:dyDescent="0.25">
      <c r="A9" s="3" t="s">
        <v>30</v>
      </c>
      <c r="B9" s="4">
        <v>0.16400000000000001</v>
      </c>
      <c r="C9" s="5">
        <v>42853</v>
      </c>
      <c r="D9" s="6">
        <v>42794</v>
      </c>
      <c r="E9" s="7">
        <v>1.0005788630000001</v>
      </c>
      <c r="F9" s="7">
        <v>-0.35299999999999998</v>
      </c>
      <c r="G9" s="7">
        <v>-0.35247947699999999</v>
      </c>
      <c r="H9" s="7">
        <v>-0.35299999999999998</v>
      </c>
      <c r="I9" s="7">
        <v>-0.35248000000000002</v>
      </c>
      <c r="J9" s="8" t="s">
        <v>19</v>
      </c>
      <c r="K9" s="8"/>
      <c r="L9" s="7">
        <v>0</v>
      </c>
      <c r="M9" s="7">
        <v>-0.35299999999999998</v>
      </c>
      <c r="N9" s="7">
        <v>-0.35299999999999998</v>
      </c>
      <c r="O9" s="8" t="s">
        <v>20</v>
      </c>
      <c r="P9" s="8" t="s">
        <v>21</v>
      </c>
      <c r="Q9" s="8" t="s">
        <v>22</v>
      </c>
      <c r="R9" s="8" t="s">
        <v>23</v>
      </c>
    </row>
    <row r="10" spans="1:18" x14ac:dyDescent="0.25">
      <c r="A10" s="3" t="s">
        <v>31</v>
      </c>
      <c r="B10" s="4">
        <v>0.25600000000000001</v>
      </c>
      <c r="C10" s="5">
        <v>42886</v>
      </c>
      <c r="D10" s="6">
        <v>42794</v>
      </c>
      <c r="E10" s="7">
        <v>1.000902926</v>
      </c>
      <c r="F10" s="7">
        <v>-0.35299999999999998</v>
      </c>
      <c r="G10" s="7">
        <v>-0.352536444</v>
      </c>
      <c r="H10" s="7">
        <v>-0.35299999999999998</v>
      </c>
      <c r="I10" s="7">
        <v>-0.35253699999999999</v>
      </c>
      <c r="J10" s="8" t="s">
        <v>19</v>
      </c>
      <c r="K10" s="8"/>
      <c r="L10" s="7">
        <v>0</v>
      </c>
      <c r="M10" s="7">
        <v>-0.35299999999999998</v>
      </c>
      <c r="N10" s="7">
        <v>-0.35299999999999998</v>
      </c>
      <c r="O10" s="8" t="s">
        <v>20</v>
      </c>
      <c r="P10" s="8" t="s">
        <v>21</v>
      </c>
      <c r="Q10" s="8" t="s">
        <v>22</v>
      </c>
      <c r="R10" s="8" t="s">
        <v>23</v>
      </c>
    </row>
    <row r="11" spans="1:18" x14ac:dyDescent="0.25">
      <c r="A11" s="3" t="s">
        <v>32</v>
      </c>
      <c r="B11" s="4">
        <v>0.33900000000000002</v>
      </c>
      <c r="C11" s="5">
        <v>42916</v>
      </c>
      <c r="D11" s="6">
        <v>42794</v>
      </c>
      <c r="E11" s="7">
        <v>1.0012011080000001</v>
      </c>
      <c r="F11" s="7">
        <v>-0.35399999999999998</v>
      </c>
      <c r="G11" s="7">
        <v>-0.35358591900000003</v>
      </c>
      <c r="H11" s="7">
        <v>-0.35399999999999998</v>
      </c>
      <c r="I11" s="7">
        <v>-0.35358600000000001</v>
      </c>
      <c r="J11" s="8" t="s">
        <v>19</v>
      </c>
      <c r="K11" s="8"/>
      <c r="L11" s="7">
        <v>0</v>
      </c>
      <c r="M11" s="7">
        <v>-0.35399999999999998</v>
      </c>
      <c r="N11" s="7">
        <v>-0.35399999999999998</v>
      </c>
      <c r="O11" s="8" t="s">
        <v>20</v>
      </c>
      <c r="P11" s="8" t="s">
        <v>21</v>
      </c>
      <c r="Q11" s="8" t="s">
        <v>22</v>
      </c>
      <c r="R11" s="8" t="s">
        <v>23</v>
      </c>
    </row>
    <row r="12" spans="1:18" x14ac:dyDescent="0.25">
      <c r="A12" s="3" t="s">
        <v>33</v>
      </c>
      <c r="B12" s="4">
        <v>0.42499999999999999</v>
      </c>
      <c r="C12" s="5">
        <v>42947</v>
      </c>
      <c r="D12" s="6">
        <v>42794</v>
      </c>
      <c r="E12" s="7">
        <v>1.0015025040000001</v>
      </c>
      <c r="F12" s="7">
        <v>-0.35299999999999998</v>
      </c>
      <c r="G12" s="7">
        <v>-0.352641812</v>
      </c>
      <c r="H12" s="7">
        <v>-0.35299999999999998</v>
      </c>
      <c r="I12" s="7">
        <v>-0.35264200000000001</v>
      </c>
      <c r="J12" s="8" t="s">
        <v>19</v>
      </c>
      <c r="K12" s="8"/>
      <c r="L12" s="7">
        <v>0</v>
      </c>
      <c r="M12" s="7">
        <v>-0.35299999999999998</v>
      </c>
      <c r="N12" s="7">
        <v>-0.35299999999999998</v>
      </c>
      <c r="O12" s="8" t="s">
        <v>20</v>
      </c>
      <c r="P12" s="8" t="s">
        <v>21</v>
      </c>
      <c r="Q12" s="8" t="s">
        <v>22</v>
      </c>
      <c r="R12" s="8" t="s">
        <v>23</v>
      </c>
    </row>
    <row r="13" spans="1:18" x14ac:dyDescent="0.25">
      <c r="A13" s="3" t="s">
        <v>34</v>
      </c>
      <c r="B13" s="4">
        <v>0.51100000000000001</v>
      </c>
      <c r="C13" s="5">
        <v>42978</v>
      </c>
      <c r="D13" s="6">
        <v>42794</v>
      </c>
      <c r="E13" s="7">
        <v>1.0018074830000001</v>
      </c>
      <c r="F13" s="7">
        <v>-0.35299999999999998</v>
      </c>
      <c r="G13" s="7">
        <v>-0.352695392</v>
      </c>
      <c r="H13" s="7">
        <v>-0.35299999999999998</v>
      </c>
      <c r="I13" s="7">
        <v>-0.35269600000000001</v>
      </c>
      <c r="J13" s="8" t="s">
        <v>19</v>
      </c>
      <c r="K13" s="8"/>
      <c r="L13" s="7">
        <v>0</v>
      </c>
      <c r="M13" s="7">
        <v>-0.35299999999999998</v>
      </c>
      <c r="N13" s="7">
        <v>-0.35299999999999998</v>
      </c>
      <c r="O13" s="8" t="s">
        <v>20</v>
      </c>
      <c r="P13" s="8" t="s">
        <v>21</v>
      </c>
      <c r="Q13" s="8" t="s">
        <v>22</v>
      </c>
      <c r="R13" s="8" t="s">
        <v>23</v>
      </c>
    </row>
    <row r="14" spans="1:18" x14ac:dyDescent="0.25">
      <c r="A14" s="3" t="s">
        <v>35</v>
      </c>
      <c r="B14" s="4">
        <v>0.59199999999999997</v>
      </c>
      <c r="C14" s="5">
        <v>43007</v>
      </c>
      <c r="D14" s="6">
        <v>42794</v>
      </c>
      <c r="E14" s="7">
        <v>1.0020988959999999</v>
      </c>
      <c r="F14" s="7">
        <v>-0.35399999999999998</v>
      </c>
      <c r="G14" s="7">
        <v>-0.35374409099999998</v>
      </c>
      <c r="H14" s="7">
        <v>-0.35399999999999998</v>
      </c>
      <c r="I14" s="7">
        <v>-0.35374499999999998</v>
      </c>
      <c r="J14" s="8" t="s">
        <v>19</v>
      </c>
      <c r="K14" s="8"/>
      <c r="L14" s="7">
        <v>0</v>
      </c>
      <c r="M14" s="7">
        <v>-0.35399999999999998</v>
      </c>
      <c r="N14" s="7">
        <v>-0.35399999999999998</v>
      </c>
      <c r="O14" s="8" t="s">
        <v>20</v>
      </c>
      <c r="P14" s="8" t="s">
        <v>21</v>
      </c>
      <c r="Q14" s="8" t="s">
        <v>22</v>
      </c>
      <c r="R14" s="8" t="s">
        <v>23</v>
      </c>
    </row>
    <row r="15" spans="1:18" x14ac:dyDescent="0.25">
      <c r="A15" s="3" t="s">
        <v>36</v>
      </c>
      <c r="B15" s="4">
        <v>0.68100000000000005</v>
      </c>
      <c r="C15" s="5">
        <v>43039</v>
      </c>
      <c r="D15" s="6">
        <v>42794</v>
      </c>
      <c r="E15" s="7">
        <v>1.0024149849999999</v>
      </c>
      <c r="F15" s="7">
        <v>-0.35399999999999998</v>
      </c>
      <c r="G15" s="7">
        <v>-0.35379975800000002</v>
      </c>
      <c r="H15" s="7">
        <v>-0.35399999999999998</v>
      </c>
      <c r="I15" s="7">
        <v>-0.3538</v>
      </c>
      <c r="J15" s="8" t="s">
        <v>19</v>
      </c>
      <c r="K15" s="8"/>
      <c r="L15" s="7">
        <v>0</v>
      </c>
      <c r="M15" s="7">
        <v>-0.35399999999999998</v>
      </c>
      <c r="N15" s="7">
        <v>-0.35399999999999998</v>
      </c>
      <c r="O15" s="8" t="s">
        <v>20</v>
      </c>
      <c r="P15" s="8" t="s">
        <v>21</v>
      </c>
      <c r="Q15" s="8" t="s">
        <v>22</v>
      </c>
      <c r="R15" s="8" t="s">
        <v>23</v>
      </c>
    </row>
    <row r="16" spans="1:18" x14ac:dyDescent="0.25">
      <c r="A16" s="3" t="s">
        <v>37</v>
      </c>
      <c r="B16" s="4">
        <v>0.76400000000000001</v>
      </c>
      <c r="C16" s="5">
        <v>43069</v>
      </c>
      <c r="D16" s="6">
        <v>42794</v>
      </c>
      <c r="E16" s="7">
        <v>1.0027114989999999</v>
      </c>
      <c r="F16" s="7">
        <v>-0.35399999999999998</v>
      </c>
      <c r="G16" s="7">
        <v>-0.35385196499999999</v>
      </c>
      <c r="H16" s="7">
        <v>-0.35400100000000001</v>
      </c>
      <c r="I16" s="7">
        <v>-0.353852</v>
      </c>
      <c r="J16" s="8" t="s">
        <v>19</v>
      </c>
      <c r="K16" s="8"/>
      <c r="L16" s="7">
        <v>0</v>
      </c>
      <c r="M16" s="7">
        <v>-0.35399999999999998</v>
      </c>
      <c r="N16" s="7">
        <v>-0.35399999999999998</v>
      </c>
      <c r="O16" s="8" t="s">
        <v>20</v>
      </c>
      <c r="P16" s="8" t="s">
        <v>21</v>
      </c>
      <c r="Q16" s="8" t="s">
        <v>22</v>
      </c>
      <c r="R16" s="8" t="s">
        <v>23</v>
      </c>
    </row>
    <row r="17" spans="1:18" x14ac:dyDescent="0.25">
      <c r="A17" s="3" t="s">
        <v>38</v>
      </c>
      <c r="B17" s="4">
        <v>0.84399999999999997</v>
      </c>
      <c r="C17" s="5">
        <v>43098</v>
      </c>
      <c r="D17" s="6">
        <v>42794</v>
      </c>
      <c r="E17" s="7">
        <v>1.0029982959999999</v>
      </c>
      <c r="F17" s="7">
        <v>-0.35399999999999998</v>
      </c>
      <c r="G17" s="7">
        <v>-0.35390245300000001</v>
      </c>
      <c r="H17" s="7">
        <v>-0.35400100000000001</v>
      </c>
      <c r="I17" s="7">
        <v>-0.35390300000000002</v>
      </c>
      <c r="J17" s="8" t="s">
        <v>19</v>
      </c>
      <c r="K17" s="8"/>
      <c r="L17" s="7">
        <v>0</v>
      </c>
      <c r="M17" s="7">
        <v>-0.35399999999999998</v>
      </c>
      <c r="N17" s="7">
        <v>-0.35399999999999998</v>
      </c>
      <c r="O17" s="8" t="s">
        <v>20</v>
      </c>
      <c r="P17" s="8" t="s">
        <v>21</v>
      </c>
      <c r="Q17" s="8" t="s">
        <v>22</v>
      </c>
      <c r="R17" s="8" t="s">
        <v>23</v>
      </c>
    </row>
    <row r="18" spans="1:18" x14ac:dyDescent="0.25">
      <c r="A18" s="3" t="s">
        <v>39</v>
      </c>
      <c r="B18" s="4">
        <v>0.93600000000000005</v>
      </c>
      <c r="C18" s="5">
        <v>43131</v>
      </c>
      <c r="D18" s="6">
        <v>42794</v>
      </c>
      <c r="E18" s="7">
        <v>1.0033248509999999</v>
      </c>
      <c r="F18" s="7">
        <v>-0.35399999999999998</v>
      </c>
      <c r="G18" s="7">
        <v>-0.35395992799999998</v>
      </c>
      <c r="H18" s="7">
        <v>-0.35400100000000001</v>
      </c>
      <c r="I18" s="7">
        <v>-0.35396100000000003</v>
      </c>
      <c r="J18" s="8" t="s">
        <v>19</v>
      </c>
      <c r="K18" s="8"/>
      <c r="L18" s="7">
        <v>0</v>
      </c>
      <c r="M18" s="7">
        <v>-0.35399999999999998</v>
      </c>
      <c r="N18" s="7">
        <v>-0.35399999999999998</v>
      </c>
      <c r="O18" s="8" t="s">
        <v>20</v>
      </c>
      <c r="P18" s="8" t="s">
        <v>21</v>
      </c>
      <c r="Q18" s="8" t="s">
        <v>22</v>
      </c>
      <c r="R18" s="8" t="s">
        <v>23</v>
      </c>
    </row>
    <row r="19" spans="1:18" x14ac:dyDescent="0.25">
      <c r="A19" s="3" t="s">
        <v>40</v>
      </c>
      <c r="B19" s="4">
        <v>1.014</v>
      </c>
      <c r="C19" s="5">
        <v>43159</v>
      </c>
      <c r="D19" s="6">
        <v>42794</v>
      </c>
      <c r="E19" s="7">
        <v>1.003602095</v>
      </c>
      <c r="F19" s="7">
        <v>-0.35399999999999998</v>
      </c>
      <c r="G19" s="7">
        <v>-0.35400871299999997</v>
      </c>
      <c r="H19" s="7">
        <v>-0.35400100000000001</v>
      </c>
      <c r="I19" s="7">
        <v>-0.35400900000000002</v>
      </c>
      <c r="J19" s="8" t="s">
        <v>19</v>
      </c>
      <c r="K19" s="8"/>
      <c r="L19" s="7">
        <v>0</v>
      </c>
      <c r="M19" s="7">
        <v>-0.35399999999999998</v>
      </c>
      <c r="N19" s="7">
        <v>-0.35399999999999998</v>
      </c>
      <c r="O19" s="8" t="s">
        <v>20</v>
      </c>
      <c r="P19" s="8" t="s">
        <v>21</v>
      </c>
      <c r="Q19" s="8" t="s">
        <v>22</v>
      </c>
      <c r="R19" s="8" t="s">
        <v>23</v>
      </c>
    </row>
    <row r="20" spans="1:18" x14ac:dyDescent="0.25">
      <c r="A20" s="3" t="s">
        <v>41</v>
      </c>
      <c r="B20" s="4">
        <v>1.2689999999999999</v>
      </c>
      <c r="C20" s="5">
        <v>43251</v>
      </c>
      <c r="D20" s="6">
        <v>42794</v>
      </c>
      <c r="E20" s="7">
        <v>1.0044725809999999</v>
      </c>
      <c r="F20" s="7">
        <v>-0.35075705499999998</v>
      </c>
      <c r="G20" s="7">
        <v>-0.35092310399999999</v>
      </c>
      <c r="H20" s="7">
        <v>-0.35100100000000001</v>
      </c>
      <c r="I20" s="7">
        <v>-0.35091499999999998</v>
      </c>
      <c r="J20" s="8" t="s">
        <v>19</v>
      </c>
      <c r="K20" s="8" t="s">
        <v>19</v>
      </c>
      <c r="L20" s="7">
        <v>0</v>
      </c>
      <c r="M20" s="7">
        <v>-0.35099999999999998</v>
      </c>
      <c r="N20" s="7">
        <v>-0.35099999999999998</v>
      </c>
      <c r="O20" s="8" t="s">
        <v>42</v>
      </c>
      <c r="P20" s="8" t="s">
        <v>43</v>
      </c>
      <c r="Q20" s="8" t="s">
        <v>22</v>
      </c>
      <c r="R20" s="8" t="s">
        <v>23</v>
      </c>
    </row>
    <row r="21" spans="1:18" x14ac:dyDescent="0.25">
      <c r="A21" s="3" t="s">
        <v>44</v>
      </c>
      <c r="B21" s="4">
        <v>1.5249999999999999</v>
      </c>
      <c r="C21" s="5">
        <v>43343</v>
      </c>
      <c r="D21" s="6">
        <v>42794</v>
      </c>
      <c r="E21" s="7">
        <v>1.0053291879999999</v>
      </c>
      <c r="F21" s="7">
        <v>-0.34760252699999999</v>
      </c>
      <c r="G21" s="7">
        <v>-0.34792045500000002</v>
      </c>
      <c r="H21" s="7">
        <v>-0.348001</v>
      </c>
      <c r="I21" s="7">
        <v>-0.34790700000000002</v>
      </c>
      <c r="J21" s="8" t="s">
        <v>19</v>
      </c>
      <c r="K21" s="8" t="s">
        <v>19</v>
      </c>
      <c r="L21" s="7">
        <v>0</v>
      </c>
      <c r="M21" s="7">
        <v>-0.34799999999999998</v>
      </c>
      <c r="N21" s="7">
        <v>-0.34799999999999998</v>
      </c>
      <c r="O21" s="8" t="s">
        <v>42</v>
      </c>
      <c r="P21" s="8" t="s">
        <v>43</v>
      </c>
      <c r="Q21" s="8" t="s">
        <v>22</v>
      </c>
      <c r="R21" s="8" t="s">
        <v>23</v>
      </c>
    </row>
    <row r="22" spans="1:18" x14ac:dyDescent="0.25">
      <c r="A22" s="3" t="s">
        <v>45</v>
      </c>
      <c r="B22" s="4">
        <v>1.778</v>
      </c>
      <c r="C22" s="5">
        <v>43434</v>
      </c>
      <c r="D22" s="6">
        <v>42794</v>
      </c>
      <c r="E22" s="7">
        <v>1.006126356</v>
      </c>
      <c r="F22" s="7">
        <v>-0.342509218</v>
      </c>
      <c r="G22" s="7">
        <v>-0.34296676999999998</v>
      </c>
      <c r="H22" s="7">
        <v>-0.34300199999999997</v>
      </c>
      <c r="I22" s="7">
        <v>-0.34294599999999997</v>
      </c>
      <c r="J22" s="8" t="s">
        <v>19</v>
      </c>
      <c r="K22" s="8" t="s">
        <v>19</v>
      </c>
      <c r="L22" s="7">
        <v>0</v>
      </c>
      <c r="M22" s="7">
        <v>-0.34300000000000003</v>
      </c>
      <c r="N22" s="7">
        <v>-0.34300000000000003</v>
      </c>
      <c r="O22" s="8" t="s">
        <v>42</v>
      </c>
      <c r="P22" s="8" t="s">
        <v>43</v>
      </c>
      <c r="Q22" s="8" t="s">
        <v>22</v>
      </c>
      <c r="R22" s="8" t="s">
        <v>23</v>
      </c>
    </row>
    <row r="23" spans="1:18" x14ac:dyDescent="0.25">
      <c r="A23" s="3" t="s">
        <v>46</v>
      </c>
      <c r="B23" s="4">
        <v>2.028</v>
      </c>
      <c r="C23" s="5">
        <v>43524</v>
      </c>
      <c r="D23" s="6">
        <v>42794</v>
      </c>
      <c r="E23" s="7">
        <v>1.0068693900000001</v>
      </c>
      <c r="F23" s="7">
        <v>-0.33645321700000003</v>
      </c>
      <c r="G23" s="7">
        <v>-0.33703694499999998</v>
      </c>
      <c r="H23" s="7">
        <v>-0.33700200000000002</v>
      </c>
      <c r="I23" s="7">
        <v>-0.33700999999999998</v>
      </c>
      <c r="J23" s="8" t="s">
        <v>19</v>
      </c>
      <c r="K23" s="8" t="s">
        <v>19</v>
      </c>
      <c r="L23" s="7">
        <v>0</v>
      </c>
      <c r="M23" s="7">
        <v>-0.33700000000000002</v>
      </c>
      <c r="N23" s="7">
        <v>-0.33700000000000002</v>
      </c>
      <c r="O23" s="8" t="s">
        <v>42</v>
      </c>
      <c r="P23" s="8" t="s">
        <v>43</v>
      </c>
      <c r="Q23" s="8" t="s">
        <v>22</v>
      </c>
      <c r="R23" s="8" t="s">
        <v>23</v>
      </c>
    </row>
    <row r="24" spans="1:18" x14ac:dyDescent="0.25">
      <c r="A24" s="3" t="s">
        <v>47</v>
      </c>
      <c r="B24" s="4">
        <v>3.0419999999999998</v>
      </c>
      <c r="C24" s="5">
        <v>43889</v>
      </c>
      <c r="D24" s="6">
        <v>42794</v>
      </c>
      <c r="E24" s="7">
        <v>1.00912337</v>
      </c>
      <c r="F24" s="7">
        <v>-0.29723464100000002</v>
      </c>
      <c r="G24" s="7">
        <v>-0.29814110100000002</v>
      </c>
      <c r="H24" s="7">
        <v>-0.29799999999999999</v>
      </c>
      <c r="I24" s="7">
        <v>-0.29800599999999999</v>
      </c>
      <c r="J24" s="8" t="s">
        <v>19</v>
      </c>
      <c r="K24" s="8" t="s">
        <v>19</v>
      </c>
      <c r="L24" s="7">
        <v>0</v>
      </c>
      <c r="M24" s="7">
        <v>-0.29799999999999999</v>
      </c>
      <c r="N24" s="7">
        <v>-0.29799999999999999</v>
      </c>
      <c r="O24" s="8" t="s">
        <v>42</v>
      </c>
      <c r="P24" s="8" t="s">
        <v>43</v>
      </c>
      <c r="Q24" s="8" t="s">
        <v>22</v>
      </c>
      <c r="R24" s="8" t="s">
        <v>23</v>
      </c>
    </row>
    <row r="25" spans="1:18" x14ac:dyDescent="0.25">
      <c r="A25" s="3" t="s">
        <v>48</v>
      </c>
      <c r="B25" s="4">
        <v>4.0529999999999999</v>
      </c>
      <c r="C25" s="5">
        <v>44253</v>
      </c>
      <c r="D25" s="6">
        <v>42794</v>
      </c>
      <c r="E25" s="7">
        <v>1.0096344319999999</v>
      </c>
      <c r="F25" s="7">
        <v>-0.23545567000000001</v>
      </c>
      <c r="G25" s="7">
        <v>-0.23630664100000001</v>
      </c>
      <c r="H25" s="7">
        <v>-0.23599999999999999</v>
      </c>
      <c r="I25" s="7">
        <v>-0.23600299999999999</v>
      </c>
      <c r="J25" s="8" t="s">
        <v>19</v>
      </c>
      <c r="K25" s="8" t="s">
        <v>19</v>
      </c>
      <c r="L25" s="7">
        <v>0</v>
      </c>
      <c r="M25" s="7">
        <v>-0.23599999999999999</v>
      </c>
      <c r="N25" s="7">
        <v>-0.23599999999999999</v>
      </c>
      <c r="O25" s="8" t="s">
        <v>42</v>
      </c>
      <c r="P25" s="8" t="s">
        <v>43</v>
      </c>
      <c r="Q25" s="8" t="s">
        <v>22</v>
      </c>
      <c r="R25" s="8" t="s">
        <v>23</v>
      </c>
    </row>
    <row r="26" spans="1:18" x14ac:dyDescent="0.25">
      <c r="A26" s="3" t="s">
        <v>49</v>
      </c>
      <c r="B26" s="4">
        <v>5.0720000000000001</v>
      </c>
      <c r="C26" s="5">
        <v>44620</v>
      </c>
      <c r="D26" s="6">
        <v>42794</v>
      </c>
      <c r="E26" s="7">
        <v>1.007664466</v>
      </c>
      <c r="F26" s="7">
        <v>-0.149957331</v>
      </c>
      <c r="G26" s="7">
        <v>-0.1504173</v>
      </c>
      <c r="H26" s="7">
        <v>-0.15</v>
      </c>
      <c r="I26" s="7">
        <v>-0.150001</v>
      </c>
      <c r="J26" s="8" t="s">
        <v>19</v>
      </c>
      <c r="K26" s="8" t="s">
        <v>19</v>
      </c>
      <c r="L26" s="7">
        <v>0</v>
      </c>
      <c r="M26" s="7">
        <v>-0.15</v>
      </c>
      <c r="N26" s="7">
        <v>-0.15</v>
      </c>
      <c r="O26" s="8" t="s">
        <v>42</v>
      </c>
      <c r="P26" s="8" t="s">
        <v>43</v>
      </c>
      <c r="Q26" s="8" t="s">
        <v>22</v>
      </c>
      <c r="R26" s="8" t="s">
        <v>23</v>
      </c>
    </row>
    <row r="27" spans="1:18" x14ac:dyDescent="0.25">
      <c r="A27" s="3" t="s">
        <v>50</v>
      </c>
      <c r="B27" s="4">
        <v>6.0860000000000003</v>
      </c>
      <c r="C27" s="5">
        <v>44985</v>
      </c>
      <c r="D27" s="6">
        <v>42794</v>
      </c>
      <c r="E27" s="7">
        <v>1.002695557</v>
      </c>
      <c r="F27" s="7">
        <v>-4.4171237000000002E-2</v>
      </c>
      <c r="G27" s="7">
        <v>-4.4220937000000002E-2</v>
      </c>
      <c r="H27" s="7">
        <v>-4.3999999999999997E-2</v>
      </c>
      <c r="I27" s="7">
        <v>-4.3999999999999997E-2</v>
      </c>
      <c r="J27" s="8" t="s">
        <v>19</v>
      </c>
      <c r="K27" s="8" t="s">
        <v>19</v>
      </c>
      <c r="L27" s="7">
        <v>0</v>
      </c>
      <c r="M27" s="7">
        <v>-4.3999999999999997E-2</v>
      </c>
      <c r="N27" s="7">
        <v>-4.3999999999999997E-2</v>
      </c>
      <c r="O27" s="8" t="s">
        <v>42</v>
      </c>
      <c r="P27" s="8" t="s">
        <v>43</v>
      </c>
      <c r="Q27" s="8" t="s">
        <v>22</v>
      </c>
      <c r="R27" s="8" t="s">
        <v>23</v>
      </c>
    </row>
    <row r="28" spans="1:18" x14ac:dyDescent="0.25">
      <c r="A28" s="3" t="s">
        <v>51</v>
      </c>
      <c r="B28" s="4">
        <v>7.1029999999999998</v>
      </c>
      <c r="C28" s="5">
        <v>45351</v>
      </c>
      <c r="D28" s="6">
        <v>42794</v>
      </c>
      <c r="E28" s="7">
        <v>0.99457556199999997</v>
      </c>
      <c r="F28" s="7">
        <v>7.6787177999999998E-2</v>
      </c>
      <c r="G28" s="7">
        <v>7.6607865999999997E-2</v>
      </c>
      <c r="H28" s="7">
        <v>7.5999999999999998E-2</v>
      </c>
      <c r="I28" s="7">
        <v>7.5999999999999998E-2</v>
      </c>
      <c r="J28" s="8" t="s">
        <v>19</v>
      </c>
      <c r="K28" s="8" t="s">
        <v>19</v>
      </c>
      <c r="L28" s="7">
        <v>0</v>
      </c>
      <c r="M28" s="7">
        <v>7.5999999999999998E-2</v>
      </c>
      <c r="N28" s="7">
        <v>7.5999999999999998E-2</v>
      </c>
      <c r="O28" s="8" t="s">
        <v>42</v>
      </c>
      <c r="P28" s="8" t="s">
        <v>43</v>
      </c>
      <c r="Q28" s="8" t="s">
        <v>22</v>
      </c>
      <c r="R28" s="8" t="s">
        <v>23</v>
      </c>
    </row>
    <row r="29" spans="1:18" x14ac:dyDescent="0.25">
      <c r="A29" s="3" t="s">
        <v>52</v>
      </c>
      <c r="B29" s="4">
        <v>8.1170000000000009</v>
      </c>
      <c r="C29" s="5">
        <v>45716</v>
      </c>
      <c r="D29" s="6">
        <v>42794</v>
      </c>
      <c r="E29" s="7">
        <v>0.98356801400000005</v>
      </c>
      <c r="F29" s="7">
        <v>0.205829658</v>
      </c>
      <c r="G29" s="7">
        <v>0.20433770900000001</v>
      </c>
      <c r="H29" s="7">
        <v>0.20200199999999999</v>
      </c>
      <c r="I29" s="7">
        <v>0.20199900000000001</v>
      </c>
      <c r="J29" s="8" t="s">
        <v>19</v>
      </c>
      <c r="K29" s="8" t="s">
        <v>19</v>
      </c>
      <c r="L29" s="7">
        <v>0</v>
      </c>
      <c r="M29" s="7">
        <v>0.20200000000000001</v>
      </c>
      <c r="N29" s="7">
        <v>0.20200000000000001</v>
      </c>
      <c r="O29" s="8" t="s">
        <v>42</v>
      </c>
      <c r="P29" s="8" t="s">
        <v>43</v>
      </c>
      <c r="Q29" s="8" t="s">
        <v>22</v>
      </c>
      <c r="R29" s="8" t="s">
        <v>23</v>
      </c>
    </row>
    <row r="30" spans="1:18" x14ac:dyDescent="0.25">
      <c r="A30" s="3" t="s">
        <v>53</v>
      </c>
      <c r="B30" s="4">
        <v>9.1280000000000001</v>
      </c>
      <c r="C30" s="5">
        <v>46080</v>
      </c>
      <c r="D30" s="6">
        <v>42794</v>
      </c>
      <c r="E30" s="7">
        <v>0.97046450299999998</v>
      </c>
      <c r="F30" s="7">
        <v>0.33342607899999999</v>
      </c>
      <c r="G30" s="7">
        <v>0.32899291899999999</v>
      </c>
      <c r="H30" s="7">
        <v>0.32400000000000001</v>
      </c>
      <c r="I30" s="7">
        <v>0.32399299999999998</v>
      </c>
      <c r="J30" s="8" t="s">
        <v>19</v>
      </c>
      <c r="K30" s="8" t="s">
        <v>19</v>
      </c>
      <c r="L30" s="7">
        <v>0</v>
      </c>
      <c r="M30" s="7">
        <v>0.32400000000000001</v>
      </c>
      <c r="N30" s="7">
        <v>0.32400000000000001</v>
      </c>
      <c r="O30" s="8" t="s">
        <v>42</v>
      </c>
      <c r="P30" s="8" t="s">
        <v>43</v>
      </c>
      <c r="Q30" s="8" t="s">
        <v>22</v>
      </c>
      <c r="R30" s="8" t="s">
        <v>23</v>
      </c>
    </row>
    <row r="31" spans="1:18" x14ac:dyDescent="0.25">
      <c r="A31" s="3" t="s">
        <v>54</v>
      </c>
      <c r="B31" s="4">
        <v>10.138999999999999</v>
      </c>
      <c r="C31" s="5">
        <v>46444</v>
      </c>
      <c r="D31" s="6">
        <v>42794</v>
      </c>
      <c r="E31" s="7">
        <v>0.95573891300000002</v>
      </c>
      <c r="F31" s="7">
        <v>0.45676461000000002</v>
      </c>
      <c r="G31" s="7">
        <v>0.44750194599999998</v>
      </c>
      <c r="H31" s="7">
        <v>0.439</v>
      </c>
      <c r="I31" s="7">
        <v>0.43898900000000002</v>
      </c>
      <c r="J31" s="8" t="s">
        <v>19</v>
      </c>
      <c r="K31" s="8" t="s">
        <v>19</v>
      </c>
      <c r="L31" s="7">
        <v>0</v>
      </c>
      <c r="M31" s="7">
        <v>0.439</v>
      </c>
      <c r="N31" s="7">
        <v>0.439</v>
      </c>
      <c r="O31" s="8" t="s">
        <v>42</v>
      </c>
      <c r="P31" s="8" t="s">
        <v>43</v>
      </c>
      <c r="Q31" s="8" t="s">
        <v>22</v>
      </c>
      <c r="R31" s="8" t="s">
        <v>23</v>
      </c>
    </row>
    <row r="32" spans="1:18" x14ac:dyDescent="0.25">
      <c r="A32" s="3" t="s">
        <v>55</v>
      </c>
      <c r="B32" s="4">
        <v>11.161</v>
      </c>
      <c r="C32" s="5">
        <v>46812</v>
      </c>
      <c r="D32" s="6">
        <v>42794</v>
      </c>
      <c r="E32" s="7">
        <v>0.93981590599999998</v>
      </c>
      <c r="F32" s="7">
        <v>0.57376163099999999</v>
      </c>
      <c r="G32" s="7">
        <v>0.55768810400000002</v>
      </c>
      <c r="H32" s="7">
        <v>0.54499900000000001</v>
      </c>
      <c r="I32" s="7">
        <v>0.54498199999999997</v>
      </c>
      <c r="J32" s="8" t="s">
        <v>19</v>
      </c>
      <c r="K32" s="8" t="s">
        <v>19</v>
      </c>
      <c r="L32" s="7">
        <v>0</v>
      </c>
      <c r="M32" s="7">
        <v>0.54500000000000004</v>
      </c>
      <c r="N32" s="7">
        <v>0.54500000000000004</v>
      </c>
      <c r="O32" s="8" t="s">
        <v>42</v>
      </c>
      <c r="P32" s="8" t="s">
        <v>43</v>
      </c>
      <c r="Q32" s="8" t="s">
        <v>22</v>
      </c>
      <c r="R32" s="8" t="s">
        <v>23</v>
      </c>
    </row>
    <row r="33" spans="1:18" x14ac:dyDescent="0.25">
      <c r="A33" s="3" t="s">
        <v>56</v>
      </c>
      <c r="B33" s="4">
        <v>12.175000000000001</v>
      </c>
      <c r="C33" s="5">
        <v>47177</v>
      </c>
      <c r="D33" s="6">
        <v>42794</v>
      </c>
      <c r="E33" s="7">
        <v>0.92357173400000003</v>
      </c>
      <c r="F33" s="7">
        <v>0.67969551699999997</v>
      </c>
      <c r="G33" s="7">
        <v>0.65517022999999996</v>
      </c>
      <c r="H33" s="7">
        <v>0.63800000000000001</v>
      </c>
      <c r="I33" s="7">
        <v>0.63797599999999999</v>
      </c>
      <c r="J33" s="8" t="s">
        <v>19</v>
      </c>
      <c r="K33" s="8" t="s">
        <v>19</v>
      </c>
      <c r="L33" s="7">
        <v>0</v>
      </c>
      <c r="M33" s="7">
        <v>0.63800000000000001</v>
      </c>
      <c r="N33" s="7">
        <v>0.63800000000000001</v>
      </c>
      <c r="O33" s="8" t="s">
        <v>42</v>
      </c>
      <c r="P33" s="8" t="s">
        <v>43</v>
      </c>
      <c r="Q33" s="8" t="s">
        <v>22</v>
      </c>
      <c r="R33" s="8" t="s">
        <v>23</v>
      </c>
    </row>
    <row r="34" spans="1:18" hidden="1" x14ac:dyDescent="0.25">
      <c r="A34" s="3" t="s">
        <v>57</v>
      </c>
      <c r="B34" s="4">
        <v>13.189</v>
      </c>
      <c r="C34" s="5">
        <v>47542</v>
      </c>
      <c r="D34" s="6">
        <v>42794</v>
      </c>
      <c r="E34" s="7">
        <v>0.90848436600000004</v>
      </c>
      <c r="F34" s="7">
        <v>0.76378236300000002</v>
      </c>
      <c r="G34" s="7">
        <v>0.73036986999999998</v>
      </c>
      <c r="H34" s="7">
        <v>0.70939799999999997</v>
      </c>
      <c r="I34" s="7">
        <v>0.709368</v>
      </c>
      <c r="J34" s="8"/>
      <c r="K34" s="8"/>
      <c r="L34" s="7"/>
      <c r="M34" s="7"/>
      <c r="N34" s="7"/>
      <c r="O34" s="8"/>
      <c r="P34" s="8"/>
      <c r="Q34" s="8"/>
      <c r="R34" s="8"/>
    </row>
    <row r="35" spans="1:18" hidden="1" x14ac:dyDescent="0.25">
      <c r="A35" s="3" t="s">
        <v>58</v>
      </c>
      <c r="B35" s="4">
        <v>14.202999999999999</v>
      </c>
      <c r="C35" s="5">
        <v>47907</v>
      </c>
      <c r="D35" s="6">
        <v>42794</v>
      </c>
      <c r="E35" s="7">
        <v>0.89221052199999995</v>
      </c>
      <c r="F35" s="7">
        <v>0.85062028999999995</v>
      </c>
      <c r="G35" s="7">
        <v>0.80626717199999998</v>
      </c>
      <c r="H35" s="7">
        <v>0.78079699999999996</v>
      </c>
      <c r="I35" s="7">
        <v>0.78076000000000001</v>
      </c>
      <c r="J35" s="8"/>
      <c r="K35" s="8"/>
      <c r="L35" s="7"/>
      <c r="M35" s="7"/>
      <c r="N35" s="7"/>
      <c r="O35" s="8"/>
      <c r="P35" s="8"/>
      <c r="Q35" s="8"/>
      <c r="R35" s="8"/>
    </row>
    <row r="36" spans="1:18" x14ac:dyDescent="0.25">
      <c r="A36" s="3" t="s">
        <v>59</v>
      </c>
      <c r="B36" s="4">
        <v>15.214</v>
      </c>
      <c r="C36" s="5">
        <v>48271</v>
      </c>
      <c r="D36" s="6">
        <v>42794</v>
      </c>
      <c r="E36" s="7">
        <v>0.87484442399999995</v>
      </c>
      <c r="F36" s="7">
        <v>0.94032749199999999</v>
      </c>
      <c r="G36" s="7">
        <v>0.88273613299999998</v>
      </c>
      <c r="H36" s="7">
        <v>0.85199800000000003</v>
      </c>
      <c r="I36" s="7">
        <v>0.85195500000000002</v>
      </c>
      <c r="J36" s="8" t="s">
        <v>19</v>
      </c>
      <c r="K36" s="8" t="s">
        <v>19</v>
      </c>
      <c r="L36" s="7">
        <v>0</v>
      </c>
      <c r="M36" s="7">
        <v>0.85199999999999998</v>
      </c>
      <c r="N36" s="7">
        <v>0.85199999999999998</v>
      </c>
      <c r="O36" s="8" t="s">
        <v>42</v>
      </c>
      <c r="P36" s="8" t="s">
        <v>43</v>
      </c>
      <c r="Q36" s="8" t="s">
        <v>22</v>
      </c>
      <c r="R36" s="8" t="s">
        <v>23</v>
      </c>
    </row>
    <row r="37" spans="1:18" hidden="1" x14ac:dyDescent="0.25">
      <c r="A37" s="3" t="s">
        <v>60</v>
      </c>
      <c r="B37" s="4">
        <v>16.233000000000001</v>
      </c>
      <c r="C37" s="5">
        <v>48638</v>
      </c>
      <c r="D37" s="6">
        <v>42794</v>
      </c>
      <c r="E37" s="7">
        <v>0.86129678399999998</v>
      </c>
      <c r="F37" s="7">
        <v>0.99203272099999995</v>
      </c>
      <c r="G37" s="7">
        <v>0.92405519899999999</v>
      </c>
      <c r="H37" s="7">
        <v>0.89097000000000004</v>
      </c>
      <c r="I37" s="7">
        <v>0.89092300000000002</v>
      </c>
      <c r="J37" s="8"/>
      <c r="K37" s="8"/>
      <c r="L37" s="7"/>
      <c r="M37" s="7"/>
      <c r="N37" s="7"/>
      <c r="O37" s="8"/>
      <c r="P37" s="8"/>
      <c r="Q37" s="8"/>
      <c r="R37" s="8"/>
    </row>
    <row r="38" spans="1:18" hidden="1" x14ac:dyDescent="0.25">
      <c r="A38" s="3" t="s">
        <v>61</v>
      </c>
      <c r="B38" s="4">
        <v>17.247</v>
      </c>
      <c r="C38" s="5">
        <v>49003</v>
      </c>
      <c r="D38" s="6">
        <v>42794</v>
      </c>
      <c r="E38" s="7">
        <v>0.847276374</v>
      </c>
      <c r="F38" s="7">
        <v>1.0451099239999999</v>
      </c>
      <c r="G38" s="7">
        <v>0.96553018999999995</v>
      </c>
      <c r="H38" s="7">
        <v>0.92972699999999997</v>
      </c>
      <c r="I38" s="7">
        <v>0.92967599999999995</v>
      </c>
      <c r="J38" s="8"/>
      <c r="K38" s="8"/>
      <c r="L38" s="7"/>
      <c r="M38" s="7"/>
      <c r="N38" s="7"/>
      <c r="O38" s="8"/>
      <c r="P38" s="8"/>
      <c r="Q38" s="8"/>
      <c r="R38" s="8"/>
    </row>
    <row r="39" spans="1:18" hidden="1" x14ac:dyDescent="0.25">
      <c r="A39" s="3" t="s">
        <v>62</v>
      </c>
      <c r="B39" s="4">
        <v>18.260999999999999</v>
      </c>
      <c r="C39" s="5">
        <v>49368</v>
      </c>
      <c r="D39" s="6">
        <v>42794</v>
      </c>
      <c r="E39" s="7">
        <v>0.83273288199999995</v>
      </c>
      <c r="F39" s="7">
        <v>1.0999619439999999</v>
      </c>
      <c r="G39" s="7">
        <v>1.0074020269999999</v>
      </c>
      <c r="H39" s="7">
        <v>0.96848299999999998</v>
      </c>
      <c r="I39" s="7">
        <v>0.96842700000000004</v>
      </c>
      <c r="J39" s="8"/>
      <c r="K39" s="8"/>
      <c r="L39" s="7"/>
      <c r="M39" s="7"/>
      <c r="N39" s="7"/>
      <c r="O39" s="8"/>
      <c r="P39" s="8"/>
      <c r="Q39" s="8"/>
      <c r="R39" s="8"/>
    </row>
    <row r="40" spans="1:18" hidden="1" x14ac:dyDescent="0.25">
      <c r="A40" s="3" t="s">
        <v>63</v>
      </c>
      <c r="B40" s="4">
        <v>19.277999999999999</v>
      </c>
      <c r="C40" s="5">
        <v>49734</v>
      </c>
      <c r="D40" s="6">
        <v>42794</v>
      </c>
      <c r="E40" s="7">
        <v>0.81764689700000004</v>
      </c>
      <c r="F40" s="7">
        <v>1.1568855490000001</v>
      </c>
      <c r="G40" s="7">
        <v>1.049807849</v>
      </c>
      <c r="H40" s="7">
        <v>1.007352</v>
      </c>
      <c r="I40" s="7">
        <v>1.00729</v>
      </c>
      <c r="J40" s="8"/>
      <c r="K40" s="8"/>
      <c r="L40" s="7"/>
      <c r="M40" s="7"/>
      <c r="N40" s="7"/>
      <c r="O40" s="8"/>
      <c r="P40" s="8"/>
      <c r="Q40" s="8"/>
      <c r="R40" s="8"/>
    </row>
    <row r="41" spans="1:18" x14ac:dyDescent="0.25">
      <c r="A41" s="3" t="s">
        <v>64</v>
      </c>
      <c r="B41" s="4">
        <v>20.289000000000001</v>
      </c>
      <c r="C41" s="5">
        <v>50098</v>
      </c>
      <c r="D41" s="6">
        <v>42794</v>
      </c>
      <c r="E41" s="7">
        <v>0.80216623300000001</v>
      </c>
      <c r="F41" s="7">
        <v>1.2155638609999999</v>
      </c>
      <c r="G41" s="7">
        <v>1.092427043</v>
      </c>
      <c r="H41" s="7">
        <v>1.0459989999999999</v>
      </c>
      <c r="I41" s="7">
        <v>1.045933</v>
      </c>
      <c r="J41" s="8" t="s">
        <v>19</v>
      </c>
      <c r="K41" s="8" t="s">
        <v>19</v>
      </c>
      <c r="L41" s="7">
        <v>0</v>
      </c>
      <c r="M41" s="7">
        <v>1.046</v>
      </c>
      <c r="N41" s="7">
        <v>1.046</v>
      </c>
      <c r="O41" s="8" t="s">
        <v>42</v>
      </c>
      <c r="P41" s="8" t="s">
        <v>43</v>
      </c>
      <c r="Q41" s="8" t="s">
        <v>22</v>
      </c>
      <c r="R41" s="8" t="s">
        <v>23</v>
      </c>
    </row>
    <row r="42" spans="1:18" hidden="1" x14ac:dyDescent="0.25">
      <c r="A42" s="3" t="s">
        <v>65</v>
      </c>
      <c r="B42" s="4">
        <v>21.3</v>
      </c>
      <c r="C42" s="5">
        <v>50462</v>
      </c>
      <c r="D42" s="6">
        <v>42794</v>
      </c>
      <c r="E42" s="7">
        <v>0.79062319299999995</v>
      </c>
      <c r="F42" s="7">
        <v>1.243309974</v>
      </c>
      <c r="G42" s="7">
        <v>1.109080751</v>
      </c>
      <c r="H42" s="7">
        <v>1.062136</v>
      </c>
      <c r="I42" s="7">
        <v>1.0620689999999999</v>
      </c>
      <c r="J42" s="8"/>
      <c r="K42" s="8"/>
      <c r="L42" s="7"/>
      <c r="M42" s="7"/>
      <c r="N42" s="7"/>
      <c r="O42" s="8"/>
      <c r="P42" s="8"/>
      <c r="Q42" s="8"/>
      <c r="R42" s="8"/>
    </row>
    <row r="43" spans="1:18" ht="21" hidden="1" x14ac:dyDescent="0.25">
      <c r="A43" s="3" t="s">
        <v>66</v>
      </c>
      <c r="B43" s="4">
        <v>22.318999999999999</v>
      </c>
      <c r="C43" s="5">
        <v>50829</v>
      </c>
      <c r="D43" s="6">
        <v>42794</v>
      </c>
      <c r="E43" s="7">
        <v>0.77885320099999999</v>
      </c>
      <c r="F43" s="7">
        <v>1.2721598000000001</v>
      </c>
      <c r="G43" s="7">
        <v>1.126091223</v>
      </c>
      <c r="H43" s="7">
        <v>1.078408</v>
      </c>
      <c r="I43" s="7">
        <v>1.0783400000000001</v>
      </c>
      <c r="J43" s="8"/>
      <c r="K43" s="8"/>
      <c r="L43" s="7"/>
      <c r="M43" s="7"/>
      <c r="N43" s="7"/>
      <c r="O43" s="8"/>
      <c r="P43" s="8"/>
      <c r="Q43" s="8"/>
      <c r="R43" s="8"/>
    </row>
    <row r="44" spans="1:18" ht="21" hidden="1" x14ac:dyDescent="0.25">
      <c r="A44" s="3" t="s">
        <v>67</v>
      </c>
      <c r="B44" s="4">
        <v>23.335999999999999</v>
      </c>
      <c r="C44" s="5">
        <v>51195</v>
      </c>
      <c r="D44" s="6">
        <v>42794</v>
      </c>
      <c r="E44" s="7">
        <v>0.76698997599999996</v>
      </c>
      <c r="F44" s="7">
        <v>1.301836464</v>
      </c>
      <c r="G44" s="7">
        <v>1.143271543</v>
      </c>
      <c r="H44" s="7">
        <v>1.0946359999999999</v>
      </c>
      <c r="I44" s="7">
        <v>1.094565</v>
      </c>
      <c r="J44" s="8"/>
      <c r="K44" s="8"/>
      <c r="L44" s="7"/>
      <c r="M44" s="7"/>
      <c r="N44" s="7"/>
      <c r="O44" s="8"/>
      <c r="P44" s="8"/>
      <c r="Q44" s="8"/>
      <c r="R44" s="8"/>
    </row>
    <row r="45" spans="1:18" ht="21" hidden="1" x14ac:dyDescent="0.25">
      <c r="A45" s="3" t="s">
        <v>68</v>
      </c>
      <c r="B45" s="4">
        <v>24.35</v>
      </c>
      <c r="C45" s="5">
        <v>51560</v>
      </c>
      <c r="D45" s="6">
        <v>42794</v>
      </c>
      <c r="E45" s="7">
        <v>0.75504170699999995</v>
      </c>
      <c r="F45" s="7">
        <v>1.3323620089999999</v>
      </c>
      <c r="G45" s="7">
        <v>1.16061485</v>
      </c>
      <c r="H45" s="7">
        <v>1.110816</v>
      </c>
      <c r="I45" s="7">
        <v>1.1107419999999999</v>
      </c>
      <c r="J45" s="8"/>
      <c r="K45" s="8"/>
      <c r="L45" s="7"/>
      <c r="M45" s="7"/>
      <c r="N45" s="7"/>
      <c r="O45" s="8"/>
      <c r="P45" s="8"/>
      <c r="Q45" s="8"/>
      <c r="R45" s="8"/>
    </row>
    <row r="46" spans="1:18" x14ac:dyDescent="0.25">
      <c r="A46" s="3" t="s">
        <v>69</v>
      </c>
      <c r="B46" s="4">
        <v>25.364000000000001</v>
      </c>
      <c r="C46" s="5">
        <v>51925</v>
      </c>
      <c r="D46" s="6">
        <v>42794</v>
      </c>
      <c r="E46" s="7">
        <v>0.74298346100000001</v>
      </c>
      <c r="F46" s="7">
        <v>1.3638483509999999</v>
      </c>
      <c r="G46" s="7">
        <v>1.1781636980000001</v>
      </c>
      <c r="H46" s="7">
        <v>1.127</v>
      </c>
      <c r="I46" s="7">
        <v>1.1269229999999999</v>
      </c>
      <c r="J46" s="8" t="s">
        <v>19</v>
      </c>
      <c r="K46" s="8" t="s">
        <v>19</v>
      </c>
      <c r="L46" s="7">
        <v>0</v>
      </c>
      <c r="M46" s="7">
        <v>1.127</v>
      </c>
      <c r="N46" s="7">
        <v>1.127</v>
      </c>
      <c r="O46" s="8" t="s">
        <v>42</v>
      </c>
      <c r="P46" s="8" t="s">
        <v>43</v>
      </c>
      <c r="Q46" s="8" t="s">
        <v>22</v>
      </c>
      <c r="R46" s="8" t="s">
        <v>23</v>
      </c>
    </row>
    <row r="47" spans="1:18" ht="21" hidden="1" x14ac:dyDescent="0.25">
      <c r="A47" s="3" t="s">
        <v>70</v>
      </c>
      <c r="B47" s="4">
        <v>26.375</v>
      </c>
      <c r="C47" s="5">
        <v>52289</v>
      </c>
      <c r="D47" s="6">
        <v>42794</v>
      </c>
      <c r="E47" s="7">
        <v>0.732941654</v>
      </c>
      <c r="F47" s="7">
        <v>1.3814789869999999</v>
      </c>
      <c r="G47" s="7">
        <v>1.1849338250000001</v>
      </c>
      <c r="H47" s="7">
        <v>1.1341749999999999</v>
      </c>
      <c r="I47" s="7">
        <v>1.1340980000000001</v>
      </c>
      <c r="J47" s="8"/>
      <c r="K47" s="8"/>
      <c r="L47" s="7"/>
      <c r="M47" s="7"/>
      <c r="N47" s="7"/>
      <c r="O47" s="8"/>
      <c r="P47" s="8"/>
      <c r="Q47" s="8"/>
      <c r="R47" s="8"/>
    </row>
    <row r="48" spans="1:18" ht="21" hidden="1" x14ac:dyDescent="0.25">
      <c r="A48" s="3" t="s">
        <v>71</v>
      </c>
      <c r="B48" s="4">
        <v>27.393999999999998</v>
      </c>
      <c r="C48" s="5">
        <v>52656</v>
      </c>
      <c r="D48" s="6">
        <v>42794</v>
      </c>
      <c r="E48" s="7">
        <v>0.722827094</v>
      </c>
      <c r="F48" s="7">
        <v>1.399760892</v>
      </c>
      <c r="G48" s="7">
        <v>1.1919051380000001</v>
      </c>
      <c r="H48" s="7">
        <v>1.1414089999999999</v>
      </c>
      <c r="I48" s="7">
        <v>1.1413310000000001</v>
      </c>
      <c r="J48" s="8"/>
      <c r="K48" s="8"/>
      <c r="L48" s="7"/>
      <c r="M48" s="7"/>
      <c r="N48" s="7"/>
      <c r="O48" s="8"/>
      <c r="P48" s="8"/>
      <c r="Q48" s="8"/>
      <c r="R48" s="8"/>
    </row>
    <row r="49" spans="1:18" ht="21" hidden="1" x14ac:dyDescent="0.25">
      <c r="A49" s="3" t="s">
        <v>72</v>
      </c>
      <c r="B49" s="4">
        <v>28.408000000000001</v>
      </c>
      <c r="C49" s="5">
        <v>53021</v>
      </c>
      <c r="D49" s="6">
        <v>42794</v>
      </c>
      <c r="E49" s="7">
        <v>0.71277890700000002</v>
      </c>
      <c r="F49" s="7">
        <v>1.418455566</v>
      </c>
      <c r="G49" s="7">
        <v>1.1989782470000001</v>
      </c>
      <c r="H49" s="7">
        <v>1.148606</v>
      </c>
      <c r="I49" s="7">
        <v>1.1485259999999999</v>
      </c>
      <c r="J49" s="8"/>
      <c r="K49" s="8"/>
      <c r="L49" s="7"/>
      <c r="M49" s="7"/>
      <c r="N49" s="7"/>
      <c r="O49" s="8"/>
      <c r="P49" s="8"/>
      <c r="Q49" s="8"/>
      <c r="R49" s="8"/>
    </row>
    <row r="50" spans="1:18" ht="21" hidden="1" x14ac:dyDescent="0.25">
      <c r="A50" s="3" t="s">
        <v>73</v>
      </c>
      <c r="B50" s="4">
        <v>29.422000000000001</v>
      </c>
      <c r="C50" s="5">
        <v>53386</v>
      </c>
      <c r="D50" s="6">
        <v>42794</v>
      </c>
      <c r="E50" s="7">
        <v>0.70274430300000001</v>
      </c>
      <c r="F50" s="7">
        <v>1.437663946</v>
      </c>
      <c r="G50" s="7">
        <v>1.206181497</v>
      </c>
      <c r="H50" s="7">
        <v>1.1558029999999999</v>
      </c>
      <c r="I50" s="7">
        <v>1.1557219999999999</v>
      </c>
      <c r="J50" s="8"/>
      <c r="K50" s="8"/>
      <c r="L50" s="7"/>
      <c r="M50" s="7"/>
      <c r="N50" s="7"/>
      <c r="O50" s="8"/>
      <c r="P50" s="8"/>
      <c r="Q50" s="8"/>
      <c r="R50" s="8"/>
    </row>
    <row r="51" spans="1:18" x14ac:dyDescent="0.25">
      <c r="A51" s="3" t="s">
        <v>74</v>
      </c>
      <c r="B51" s="4">
        <v>30.436</v>
      </c>
      <c r="C51" s="5">
        <v>53751</v>
      </c>
      <c r="D51" s="6">
        <v>42794</v>
      </c>
      <c r="E51" s="7">
        <v>0.69272529400000005</v>
      </c>
      <c r="F51" s="7">
        <v>1.4573927520000001</v>
      </c>
      <c r="G51" s="7">
        <v>1.2135085430000001</v>
      </c>
      <c r="H51" s="7">
        <v>1.1629989999999999</v>
      </c>
      <c r="I51" s="7">
        <v>1.162917</v>
      </c>
      <c r="J51" s="8" t="s">
        <v>19</v>
      </c>
      <c r="K51" s="8" t="s">
        <v>19</v>
      </c>
      <c r="L51" s="7">
        <v>0</v>
      </c>
      <c r="M51" s="7">
        <v>1.163</v>
      </c>
      <c r="N51" s="7">
        <v>1.163</v>
      </c>
      <c r="O51" s="8" t="s">
        <v>42</v>
      </c>
      <c r="P51" s="8" t="s">
        <v>43</v>
      </c>
      <c r="Q51" s="8" t="s">
        <v>22</v>
      </c>
      <c r="R51" s="8" t="s">
        <v>23</v>
      </c>
    </row>
    <row r="52" spans="1:18" hidden="1" x14ac:dyDescent="0.25">
      <c r="A52" s="3" t="s">
        <v>75</v>
      </c>
      <c r="B52" s="4">
        <v>31.45</v>
      </c>
      <c r="C52" s="5">
        <v>54116</v>
      </c>
      <c r="D52" s="6">
        <v>42794</v>
      </c>
      <c r="E52" s="7">
        <v>0.68414344500000002</v>
      </c>
      <c r="F52" s="7">
        <v>1.4679865430000001</v>
      </c>
      <c r="G52" s="7">
        <v>1.2142691269999999</v>
      </c>
      <c r="H52" s="7">
        <v>1.164898</v>
      </c>
      <c r="I52" s="7">
        <v>1.1648149999999999</v>
      </c>
      <c r="J52" s="8"/>
      <c r="K52" s="8"/>
      <c r="L52" s="7"/>
      <c r="M52" s="7"/>
      <c r="N52" s="7"/>
      <c r="O52" s="8"/>
      <c r="P52" s="8"/>
      <c r="Q52" s="8"/>
      <c r="R52" s="8"/>
    </row>
    <row r="53" spans="1:18" ht="21" hidden="1" x14ac:dyDescent="0.25">
      <c r="A53" s="3" t="s">
        <v>76</v>
      </c>
      <c r="B53" s="4">
        <v>32.460999999999999</v>
      </c>
      <c r="C53" s="5">
        <v>54480</v>
      </c>
      <c r="D53" s="6">
        <v>42794</v>
      </c>
      <c r="E53" s="7">
        <v>0.67565897500000005</v>
      </c>
      <c r="F53" s="7">
        <v>1.4788051470000001</v>
      </c>
      <c r="G53" s="7">
        <v>1.215128051</v>
      </c>
      <c r="H53" s="7">
        <v>1.1667909999999999</v>
      </c>
      <c r="I53" s="7">
        <v>1.1667080000000001</v>
      </c>
      <c r="J53" s="8"/>
      <c r="K53" s="8"/>
      <c r="L53" s="7"/>
      <c r="M53" s="7"/>
      <c r="N53" s="7"/>
      <c r="O53" s="8"/>
      <c r="P53" s="8"/>
      <c r="Q53" s="8"/>
      <c r="R53" s="8"/>
    </row>
    <row r="54" spans="1:18" ht="21" hidden="1" x14ac:dyDescent="0.25">
      <c r="A54" s="3" t="s">
        <v>77</v>
      </c>
      <c r="B54" s="4">
        <v>33.481000000000002</v>
      </c>
      <c r="C54" s="5">
        <v>54847</v>
      </c>
      <c r="D54" s="6">
        <v>42794</v>
      </c>
      <c r="E54" s="7">
        <v>0.66717941700000005</v>
      </c>
      <c r="F54" s="7">
        <v>1.4899609330000001</v>
      </c>
      <c r="G54" s="7">
        <v>1.216085096</v>
      </c>
      <c r="H54" s="7">
        <v>1.1686989999999999</v>
      </c>
      <c r="I54" s="7">
        <v>1.168617</v>
      </c>
      <c r="J54" s="8"/>
      <c r="K54" s="8"/>
      <c r="L54" s="7"/>
      <c r="M54" s="7"/>
      <c r="N54" s="7"/>
      <c r="O54" s="8"/>
      <c r="P54" s="8"/>
      <c r="Q54" s="8"/>
      <c r="R54" s="8"/>
    </row>
    <row r="55" spans="1:18" ht="21" hidden="1" x14ac:dyDescent="0.25">
      <c r="A55" s="3" t="s">
        <v>78</v>
      </c>
      <c r="B55" s="4">
        <v>34.494</v>
      </c>
      <c r="C55" s="5">
        <v>55212</v>
      </c>
      <c r="D55" s="6">
        <v>42794</v>
      </c>
      <c r="E55" s="7">
        <v>0.65881953500000001</v>
      </c>
      <c r="F55" s="7">
        <v>1.501303627</v>
      </c>
      <c r="G55" s="7">
        <v>1.217123736</v>
      </c>
      <c r="H55" s="7">
        <v>1.1705970000000001</v>
      </c>
      <c r="I55" s="7">
        <v>1.1705140000000001</v>
      </c>
      <c r="J55" s="8"/>
      <c r="K55" s="8"/>
      <c r="L55" s="7"/>
      <c r="M55" s="7"/>
      <c r="N55" s="7"/>
      <c r="O55" s="8"/>
      <c r="P55" s="8"/>
      <c r="Q55" s="8"/>
      <c r="R55" s="8"/>
    </row>
    <row r="56" spans="1:18" ht="21" hidden="1" x14ac:dyDescent="0.25">
      <c r="A56" s="3" t="s">
        <v>79</v>
      </c>
      <c r="B56" s="4">
        <v>35.511000000000003</v>
      </c>
      <c r="C56" s="5">
        <v>55578</v>
      </c>
      <c r="D56" s="6">
        <v>42794</v>
      </c>
      <c r="E56" s="7">
        <v>0.65051033199999997</v>
      </c>
      <c r="F56" s="7">
        <v>1.5129197089999999</v>
      </c>
      <c r="G56" s="7">
        <v>1.218244125</v>
      </c>
      <c r="H56" s="7">
        <v>1.1725110000000001</v>
      </c>
      <c r="I56" s="7">
        <v>1.1724270000000001</v>
      </c>
      <c r="J56" s="8"/>
      <c r="K56" s="8"/>
      <c r="L56" s="7"/>
      <c r="M56" s="7"/>
      <c r="N56" s="7"/>
      <c r="O56" s="8"/>
      <c r="P56" s="8"/>
      <c r="Q56" s="8"/>
      <c r="R56" s="8"/>
    </row>
    <row r="57" spans="1:18" ht="21" hidden="1" x14ac:dyDescent="0.25">
      <c r="A57" s="3" t="s">
        <v>80</v>
      </c>
      <c r="B57" s="4">
        <v>36.524999999999999</v>
      </c>
      <c r="C57" s="5">
        <v>55943</v>
      </c>
      <c r="D57" s="6">
        <v>42794</v>
      </c>
      <c r="E57" s="7">
        <v>0.64229655799999996</v>
      </c>
      <c r="F57" s="7">
        <v>1.524745287</v>
      </c>
      <c r="G57" s="7">
        <v>1.2194358750000001</v>
      </c>
      <c r="H57" s="7">
        <v>1.1744000000000001</v>
      </c>
      <c r="I57" s="7">
        <v>1.1743159999999999</v>
      </c>
      <c r="J57" s="8"/>
      <c r="K57" s="8"/>
      <c r="L57" s="7"/>
      <c r="M57" s="7"/>
      <c r="N57" s="7"/>
      <c r="O57" s="8"/>
      <c r="P57" s="8"/>
      <c r="Q57" s="8"/>
      <c r="R57" s="8"/>
    </row>
    <row r="58" spans="1:18" ht="21" hidden="1" x14ac:dyDescent="0.25">
      <c r="A58" s="3" t="s">
        <v>81</v>
      </c>
      <c r="B58" s="4">
        <v>37.536000000000001</v>
      </c>
      <c r="C58" s="5">
        <v>56307</v>
      </c>
      <c r="D58" s="6">
        <v>42794</v>
      </c>
      <c r="E58" s="7">
        <v>0.63417723199999998</v>
      </c>
      <c r="F58" s="7">
        <v>1.536776852</v>
      </c>
      <c r="G58" s="7">
        <v>1.2206935320000001</v>
      </c>
      <c r="H58" s="7">
        <v>1.176293</v>
      </c>
      <c r="I58" s="7">
        <v>1.1762079999999999</v>
      </c>
      <c r="J58" s="8"/>
      <c r="K58" s="8"/>
      <c r="L58" s="7"/>
      <c r="M58" s="7"/>
      <c r="N58" s="7"/>
      <c r="O58" s="8"/>
      <c r="P58" s="8"/>
      <c r="Q58" s="8"/>
      <c r="R58" s="8"/>
    </row>
    <row r="59" spans="1:18" ht="21" hidden="1" x14ac:dyDescent="0.25">
      <c r="A59" s="3" t="s">
        <v>82</v>
      </c>
      <c r="B59" s="4">
        <v>38.546999999999997</v>
      </c>
      <c r="C59" s="5">
        <v>56671</v>
      </c>
      <c r="D59" s="6">
        <v>42794</v>
      </c>
      <c r="E59" s="7">
        <v>0.62612949600000001</v>
      </c>
      <c r="F59" s="7">
        <v>1.5490447089999999</v>
      </c>
      <c r="G59" s="7">
        <v>1.222015426</v>
      </c>
      <c r="H59" s="7">
        <v>1.1781870000000001</v>
      </c>
      <c r="I59" s="7">
        <v>1.1781029999999999</v>
      </c>
      <c r="J59" s="8"/>
      <c r="K59" s="8"/>
      <c r="L59" s="7"/>
      <c r="M59" s="7"/>
      <c r="N59" s="7"/>
      <c r="O59" s="8"/>
      <c r="P59" s="8"/>
      <c r="Q59" s="8"/>
      <c r="R59" s="8"/>
    </row>
    <row r="60" spans="1:18" ht="21" hidden="1" x14ac:dyDescent="0.25">
      <c r="A60" s="3" t="s">
        <v>83</v>
      </c>
      <c r="B60" s="4">
        <v>39.569000000000003</v>
      </c>
      <c r="C60" s="5">
        <v>57039</v>
      </c>
      <c r="D60" s="6">
        <v>42794</v>
      </c>
      <c r="E60" s="7">
        <v>0.61806622499999997</v>
      </c>
      <c r="F60" s="7">
        <v>1.561683785</v>
      </c>
      <c r="G60" s="7">
        <v>1.223411118</v>
      </c>
      <c r="H60" s="7">
        <v>1.1801010000000001</v>
      </c>
      <c r="I60" s="7">
        <v>1.1800170000000001</v>
      </c>
      <c r="J60" s="8"/>
      <c r="K60" s="8"/>
      <c r="L60" s="7"/>
      <c r="M60" s="7"/>
      <c r="N60" s="7"/>
      <c r="O60" s="8"/>
      <c r="P60" s="8"/>
      <c r="Q60" s="8"/>
      <c r="R60" s="8"/>
    </row>
    <row r="61" spans="1:18" x14ac:dyDescent="0.25">
      <c r="A61" s="3" t="s">
        <v>84</v>
      </c>
      <c r="B61" s="4">
        <v>40.582999999999998</v>
      </c>
      <c r="C61" s="5">
        <v>57404</v>
      </c>
      <c r="D61" s="6">
        <v>42794</v>
      </c>
      <c r="E61" s="7">
        <v>0.61013978800000002</v>
      </c>
      <c r="F61" s="7">
        <v>1.574460803</v>
      </c>
      <c r="G61" s="7">
        <v>1.2248546629999999</v>
      </c>
      <c r="H61" s="7">
        <v>1.181999</v>
      </c>
      <c r="I61" s="7">
        <v>1.181915</v>
      </c>
      <c r="J61" s="8" t="s">
        <v>19</v>
      </c>
      <c r="K61" s="8" t="s">
        <v>19</v>
      </c>
      <c r="L61" s="7">
        <v>0</v>
      </c>
      <c r="M61" s="7">
        <v>1.1819999999999999</v>
      </c>
      <c r="N61" s="7">
        <v>1.1819999999999999</v>
      </c>
      <c r="O61" s="8" t="s">
        <v>42</v>
      </c>
      <c r="P61" s="8" t="s">
        <v>43</v>
      </c>
      <c r="Q61" s="8" t="s">
        <v>22</v>
      </c>
      <c r="R61" s="8" t="s">
        <v>23</v>
      </c>
    </row>
    <row r="62" spans="1:18" hidden="1" x14ac:dyDescent="0.25">
      <c r="A62" s="3" t="s">
        <v>85</v>
      </c>
      <c r="B62" s="4">
        <v>41.597000000000001</v>
      </c>
      <c r="C62" s="5">
        <v>57769</v>
      </c>
      <c r="D62" s="6">
        <v>42794</v>
      </c>
      <c r="E62" s="7">
        <v>0.60414200699999998</v>
      </c>
      <c r="F62" s="7">
        <v>1.5752012740000001</v>
      </c>
      <c r="G62" s="7">
        <v>1.218857804</v>
      </c>
      <c r="H62" s="7">
        <v>1.178301</v>
      </c>
      <c r="I62" s="7">
        <v>1.1782170000000001</v>
      </c>
      <c r="J62" s="8"/>
      <c r="K62" s="8"/>
      <c r="L62" s="7"/>
      <c r="M62" s="7"/>
      <c r="N62" s="7"/>
      <c r="O62" s="8"/>
      <c r="P62" s="8"/>
      <c r="Q62" s="8"/>
      <c r="R62" s="8"/>
    </row>
    <row r="63" spans="1:18" ht="21" hidden="1" x14ac:dyDescent="0.25">
      <c r="A63" s="3" t="s">
        <v>86</v>
      </c>
      <c r="B63" s="4">
        <v>42.610999999999997</v>
      </c>
      <c r="C63" s="5">
        <v>58134</v>
      </c>
      <c r="D63" s="6">
        <v>42794</v>
      </c>
      <c r="E63" s="7">
        <v>0.59825958300000004</v>
      </c>
      <c r="F63" s="7">
        <v>1.575915774</v>
      </c>
      <c r="G63" s="7">
        <v>1.2129227250000001</v>
      </c>
      <c r="H63" s="7">
        <v>1.1746030000000001</v>
      </c>
      <c r="I63" s="7">
        <v>1.17452</v>
      </c>
      <c r="J63" s="8"/>
      <c r="K63" s="8"/>
      <c r="L63" s="7"/>
      <c r="M63" s="7"/>
      <c r="N63" s="7"/>
      <c r="O63" s="8"/>
      <c r="P63" s="8"/>
      <c r="Q63" s="8"/>
      <c r="R63" s="8"/>
    </row>
    <row r="64" spans="1:18" ht="21" hidden="1" x14ac:dyDescent="0.25">
      <c r="A64" s="3" t="s">
        <v>87</v>
      </c>
      <c r="B64" s="4">
        <v>43.622</v>
      </c>
      <c r="C64" s="5">
        <v>58498</v>
      </c>
      <c r="D64" s="6">
        <v>42794</v>
      </c>
      <c r="E64" s="7">
        <v>0.59250607099999997</v>
      </c>
      <c r="F64" s="7">
        <v>1.5765964800000001</v>
      </c>
      <c r="G64" s="7">
        <v>1.207060665</v>
      </c>
      <c r="H64" s="7">
        <v>1.1709149999999999</v>
      </c>
      <c r="I64" s="7">
        <v>1.1708320000000001</v>
      </c>
      <c r="J64" s="8"/>
      <c r="K64" s="8"/>
      <c r="L64" s="7"/>
      <c r="M64" s="7"/>
      <c r="N64" s="7"/>
      <c r="O64" s="8"/>
      <c r="P64" s="8"/>
      <c r="Q64" s="8"/>
      <c r="R64" s="8"/>
    </row>
    <row r="65" spans="1:18" ht="21" hidden="1" x14ac:dyDescent="0.25">
      <c r="A65" s="3" t="s">
        <v>88</v>
      </c>
      <c r="B65" s="4">
        <v>44.642000000000003</v>
      </c>
      <c r="C65" s="5">
        <v>58865</v>
      </c>
      <c r="D65" s="6">
        <v>42794</v>
      </c>
      <c r="E65" s="7">
        <v>0.58681756100000004</v>
      </c>
      <c r="F65" s="7">
        <v>1.577242069</v>
      </c>
      <c r="G65" s="7">
        <v>1.201201535</v>
      </c>
      <c r="H65" s="7">
        <v>1.167197</v>
      </c>
      <c r="I65" s="7">
        <v>1.1671149999999999</v>
      </c>
      <c r="J65" s="8"/>
      <c r="K65" s="8"/>
      <c r="L65" s="7"/>
      <c r="M65" s="7"/>
      <c r="N65" s="7"/>
      <c r="O65" s="8"/>
      <c r="P65" s="8"/>
      <c r="Q65" s="8"/>
      <c r="R65" s="8"/>
    </row>
    <row r="66" spans="1:18" ht="21" hidden="1" x14ac:dyDescent="0.25">
      <c r="A66" s="3" t="s">
        <v>89</v>
      </c>
      <c r="B66" s="4">
        <v>45.655999999999999</v>
      </c>
      <c r="C66" s="5">
        <v>59230</v>
      </c>
      <c r="D66" s="6">
        <v>42794</v>
      </c>
      <c r="E66" s="7">
        <v>0.58126962199999999</v>
      </c>
      <c r="F66" s="7">
        <v>1.5778409019999999</v>
      </c>
      <c r="G66" s="7">
        <v>1.195422904</v>
      </c>
      <c r="H66" s="7">
        <v>1.1634990000000001</v>
      </c>
      <c r="I66" s="7">
        <v>1.1634169999999999</v>
      </c>
      <c r="J66" s="8"/>
      <c r="K66" s="8"/>
      <c r="L66" s="7"/>
      <c r="M66" s="7"/>
      <c r="N66" s="7"/>
      <c r="O66" s="8"/>
      <c r="P66" s="8"/>
      <c r="Q66" s="8"/>
      <c r="R66" s="8"/>
    </row>
    <row r="67" spans="1:18" ht="21" hidden="1" x14ac:dyDescent="0.25">
      <c r="A67" s="3" t="s">
        <v>90</v>
      </c>
      <c r="B67" s="4">
        <v>46.668999999999997</v>
      </c>
      <c r="C67" s="5">
        <v>59595</v>
      </c>
      <c r="D67" s="6">
        <v>42794</v>
      </c>
      <c r="E67" s="7">
        <v>0.57582924499999999</v>
      </c>
      <c r="F67" s="7">
        <v>1.578390191</v>
      </c>
      <c r="G67" s="7">
        <v>1.1896881429999999</v>
      </c>
      <c r="H67" s="7">
        <v>1.1598010000000001</v>
      </c>
      <c r="I67" s="7">
        <v>1.1597200000000001</v>
      </c>
      <c r="J67" s="8"/>
      <c r="K67" s="8"/>
      <c r="L67" s="7"/>
      <c r="M67" s="7"/>
      <c r="N67" s="7"/>
      <c r="O67" s="8"/>
      <c r="P67" s="8"/>
      <c r="Q67" s="8"/>
      <c r="R67" s="8"/>
    </row>
    <row r="68" spans="1:18" ht="21" hidden="1" x14ac:dyDescent="0.25">
      <c r="A68" s="3" t="s">
        <v>91</v>
      </c>
      <c r="B68" s="4">
        <v>47.686</v>
      </c>
      <c r="C68" s="5">
        <v>59961</v>
      </c>
      <c r="D68" s="6">
        <v>42794</v>
      </c>
      <c r="E68" s="7">
        <v>0.57048019000000005</v>
      </c>
      <c r="F68" s="7">
        <v>1.5788858180000001</v>
      </c>
      <c r="G68" s="7">
        <v>1.18397789</v>
      </c>
      <c r="H68" s="7">
        <v>1.156093</v>
      </c>
      <c r="I68" s="7">
        <v>1.156012</v>
      </c>
      <c r="J68" s="8"/>
      <c r="K68" s="8"/>
      <c r="L68" s="7"/>
      <c r="M68" s="7"/>
      <c r="N68" s="7"/>
      <c r="O68" s="8"/>
      <c r="P68" s="8"/>
      <c r="Q68" s="8"/>
      <c r="R68" s="8"/>
    </row>
    <row r="69" spans="1:18" ht="21" hidden="1" x14ac:dyDescent="0.25">
      <c r="A69" s="3" t="s">
        <v>92</v>
      </c>
      <c r="B69" s="4">
        <v>48.697000000000003</v>
      </c>
      <c r="C69" s="5">
        <v>60325</v>
      </c>
      <c r="D69" s="6">
        <v>42794</v>
      </c>
      <c r="E69" s="7">
        <v>0.56526380899999995</v>
      </c>
      <c r="F69" s="7">
        <v>1.5793210609999999</v>
      </c>
      <c r="G69" s="7">
        <v>1.1783365379999999</v>
      </c>
      <c r="H69" s="7">
        <v>1.1524049999999999</v>
      </c>
      <c r="I69" s="7">
        <v>1.1523239999999999</v>
      </c>
      <c r="J69" s="8"/>
      <c r="K69" s="8"/>
      <c r="L69" s="7"/>
      <c r="M69" s="7"/>
      <c r="N69" s="7"/>
      <c r="O69" s="8"/>
      <c r="P69" s="8"/>
      <c r="Q69" s="8"/>
      <c r="R69" s="8"/>
    </row>
    <row r="70" spans="1:18" ht="21" hidden="1" x14ac:dyDescent="0.25">
      <c r="A70" s="3" t="s">
        <v>93</v>
      </c>
      <c r="B70" s="4">
        <v>49.707999999999998</v>
      </c>
      <c r="C70" s="5">
        <v>60689</v>
      </c>
      <c r="D70" s="6">
        <v>42794</v>
      </c>
      <c r="E70" s="7">
        <v>0.56014898999999996</v>
      </c>
      <c r="F70" s="7">
        <v>1.579693512</v>
      </c>
      <c r="G70" s="7">
        <v>1.1727292490000001</v>
      </c>
      <c r="H70" s="7">
        <v>1.148717</v>
      </c>
      <c r="I70" s="7">
        <v>1.148638</v>
      </c>
      <c r="J70" s="8"/>
      <c r="K70" s="8"/>
      <c r="L70" s="7"/>
      <c r="M70" s="7"/>
      <c r="N70" s="7"/>
      <c r="O70" s="8"/>
      <c r="P70" s="8"/>
      <c r="Q70" s="8"/>
      <c r="R70" s="8"/>
    </row>
    <row r="71" spans="1:18" x14ac:dyDescent="0.25">
      <c r="A71" s="3" t="s">
        <v>94</v>
      </c>
      <c r="B71" s="4">
        <v>50.728000000000002</v>
      </c>
      <c r="C71" s="5">
        <v>61056</v>
      </c>
      <c r="D71" s="6">
        <v>42794</v>
      </c>
      <c r="E71" s="7">
        <v>0.55509332099999997</v>
      </c>
      <c r="F71" s="7">
        <v>1.5799999979999999</v>
      </c>
      <c r="G71" s="7">
        <v>1.1671067079999999</v>
      </c>
      <c r="H71" s="7">
        <v>1.1449990000000001</v>
      </c>
      <c r="I71" s="7">
        <v>1.1449199999999999</v>
      </c>
      <c r="J71" s="8" t="s">
        <v>19</v>
      </c>
      <c r="K71" s="8" t="s">
        <v>19</v>
      </c>
      <c r="L71" s="7">
        <v>0</v>
      </c>
      <c r="M71" s="7">
        <v>1.145</v>
      </c>
      <c r="N71" s="7">
        <v>1.145</v>
      </c>
      <c r="O71" s="8" t="s">
        <v>42</v>
      </c>
      <c r="P71" s="8" t="s">
        <v>43</v>
      </c>
      <c r="Q71" s="8" t="s">
        <v>22</v>
      </c>
      <c r="R71" s="8" t="s">
        <v>23</v>
      </c>
    </row>
    <row r="72" spans="1:18" hidden="1" x14ac:dyDescent="0.25">
      <c r="A72" s="3" t="s">
        <v>95</v>
      </c>
      <c r="B72" s="4">
        <v>51.744</v>
      </c>
      <c r="C72" s="5">
        <v>61422</v>
      </c>
      <c r="D72" s="6">
        <v>42794</v>
      </c>
      <c r="E72" s="7">
        <v>0.54972143100000004</v>
      </c>
      <c r="F72" s="7">
        <v>1.582978005</v>
      </c>
      <c r="G72" s="7">
        <v>1.163055188</v>
      </c>
      <c r="H72" s="7">
        <v>1.1423920000000001</v>
      </c>
      <c r="I72" s="7">
        <v>1.1423140000000001</v>
      </c>
      <c r="J72" s="8"/>
      <c r="K72" s="8"/>
      <c r="L72" s="7"/>
      <c r="M72" s="7"/>
      <c r="N72" s="7"/>
      <c r="O72" s="8"/>
      <c r="P72" s="8"/>
      <c r="Q72" s="8"/>
      <c r="R72" s="8"/>
    </row>
    <row r="73" spans="1:18" ht="21" hidden="1" x14ac:dyDescent="0.25">
      <c r="A73" s="3" t="s">
        <v>96</v>
      </c>
      <c r="B73" s="4">
        <v>52.758000000000003</v>
      </c>
      <c r="C73" s="5">
        <v>61787</v>
      </c>
      <c r="D73" s="6">
        <v>42794</v>
      </c>
      <c r="E73" s="7">
        <v>0.54445410299999997</v>
      </c>
      <c r="F73" s="7">
        <v>1.585914598</v>
      </c>
      <c r="G73" s="7">
        <v>1.1590361790000001</v>
      </c>
      <c r="H73" s="7">
        <v>1.1397930000000001</v>
      </c>
      <c r="I73" s="7">
        <v>1.139715</v>
      </c>
      <c r="J73" s="8"/>
      <c r="K73" s="8"/>
      <c r="L73" s="7"/>
      <c r="M73" s="7"/>
      <c r="N73" s="7"/>
      <c r="O73" s="8"/>
      <c r="P73" s="8"/>
      <c r="Q73" s="8"/>
      <c r="R73" s="8"/>
    </row>
    <row r="74" spans="1:18" ht="21" hidden="1" x14ac:dyDescent="0.25">
      <c r="A74" s="3" t="s">
        <v>97</v>
      </c>
      <c r="B74" s="4">
        <v>53.771999999999998</v>
      </c>
      <c r="C74" s="5">
        <v>62152</v>
      </c>
      <c r="D74" s="6">
        <v>42794</v>
      </c>
      <c r="E74" s="7">
        <v>0.53927518500000005</v>
      </c>
      <c r="F74" s="7">
        <v>1.58881446</v>
      </c>
      <c r="G74" s="7">
        <v>1.1550365309999999</v>
      </c>
      <c r="H74" s="7">
        <v>1.137194</v>
      </c>
      <c r="I74" s="7">
        <v>1.137116</v>
      </c>
      <c r="J74" s="8"/>
      <c r="K74" s="8"/>
      <c r="L74" s="7"/>
      <c r="M74" s="7"/>
      <c r="N74" s="7"/>
      <c r="O74" s="8"/>
      <c r="P74" s="8"/>
      <c r="Q74" s="8"/>
      <c r="R74" s="8"/>
    </row>
    <row r="75" spans="1:18" ht="21" hidden="1" x14ac:dyDescent="0.25">
      <c r="A75" s="3" t="s">
        <v>98</v>
      </c>
      <c r="B75" s="4">
        <v>54.783000000000001</v>
      </c>
      <c r="C75" s="5">
        <v>62516</v>
      </c>
      <c r="D75" s="6">
        <v>42794</v>
      </c>
      <c r="E75" s="7">
        <v>0.53419701900000005</v>
      </c>
      <c r="F75" s="7">
        <v>1.5916675010000001</v>
      </c>
      <c r="G75" s="7">
        <v>1.1510657950000001</v>
      </c>
      <c r="H75" s="7">
        <v>1.1346020000000001</v>
      </c>
      <c r="I75" s="7">
        <v>1.1345240000000001</v>
      </c>
      <c r="J75" s="8"/>
      <c r="K75" s="8"/>
      <c r="L75" s="7"/>
      <c r="M75" s="7"/>
      <c r="N75" s="7"/>
      <c r="O75" s="8"/>
      <c r="P75" s="8"/>
      <c r="Q75" s="8"/>
      <c r="R75" s="8"/>
    </row>
    <row r="76" spans="1:18" ht="21" hidden="1" x14ac:dyDescent="0.25">
      <c r="A76" s="3" t="s">
        <v>99</v>
      </c>
      <c r="B76" s="4">
        <v>55.802999999999997</v>
      </c>
      <c r="C76" s="5">
        <v>62883</v>
      </c>
      <c r="D76" s="6">
        <v>42794</v>
      </c>
      <c r="E76" s="7">
        <v>0.52916343799999999</v>
      </c>
      <c r="F76" s="7">
        <v>1.5945000309999999</v>
      </c>
      <c r="G76" s="7">
        <v>1.147077903</v>
      </c>
      <c r="H76" s="7">
        <v>1.131988</v>
      </c>
      <c r="I76" s="7">
        <v>1.1319109999999999</v>
      </c>
      <c r="J76" s="8"/>
      <c r="K76" s="8"/>
      <c r="L76" s="7"/>
      <c r="M76" s="7"/>
      <c r="N76" s="7"/>
      <c r="O76" s="8"/>
      <c r="P76" s="8"/>
      <c r="Q76" s="8"/>
      <c r="R76" s="8"/>
    </row>
    <row r="77" spans="1:18" ht="21" hidden="1" x14ac:dyDescent="0.25">
      <c r="A77" s="3" t="s">
        <v>100</v>
      </c>
      <c r="B77" s="4">
        <v>56.817</v>
      </c>
      <c r="C77" s="5">
        <v>63248</v>
      </c>
      <c r="D77" s="6">
        <v>42794</v>
      </c>
      <c r="E77" s="7">
        <v>0.52424161400000002</v>
      </c>
      <c r="F77" s="7">
        <v>1.5972732160000001</v>
      </c>
      <c r="G77" s="7">
        <v>1.1431272260000001</v>
      </c>
      <c r="H77" s="7">
        <v>1.129389</v>
      </c>
      <c r="I77" s="7">
        <v>1.129311</v>
      </c>
      <c r="J77" s="8"/>
      <c r="K77" s="8"/>
      <c r="L77" s="7"/>
      <c r="M77" s="7"/>
      <c r="N77" s="7"/>
      <c r="O77" s="8"/>
      <c r="P77" s="8"/>
      <c r="Q77" s="8"/>
      <c r="R77" s="8"/>
    </row>
    <row r="78" spans="1:18" ht="21" hidden="1" x14ac:dyDescent="0.25">
      <c r="A78" s="3" t="s">
        <v>101</v>
      </c>
      <c r="B78" s="4">
        <v>57.831000000000003</v>
      </c>
      <c r="C78" s="5">
        <v>63613</v>
      </c>
      <c r="D78" s="6">
        <v>42794</v>
      </c>
      <c r="E78" s="7">
        <v>0.51940270300000002</v>
      </c>
      <c r="F78" s="7">
        <v>1.5999991570000001</v>
      </c>
      <c r="G78" s="7">
        <v>1.139190181</v>
      </c>
      <c r="H78" s="7">
        <v>1.126789</v>
      </c>
      <c r="I78" s="7">
        <v>1.1267119999999999</v>
      </c>
      <c r="J78" s="8"/>
      <c r="K78" s="8"/>
      <c r="L78" s="7"/>
      <c r="M78" s="7"/>
      <c r="N78" s="7"/>
      <c r="O78" s="8"/>
      <c r="P78" s="8"/>
      <c r="Q78" s="8"/>
      <c r="R78" s="8"/>
    </row>
    <row r="79" spans="1:18" ht="21" hidden="1" x14ac:dyDescent="0.25">
      <c r="A79" s="3" t="s">
        <v>102</v>
      </c>
      <c r="B79" s="4">
        <v>58.844000000000001</v>
      </c>
      <c r="C79" s="5">
        <v>63978</v>
      </c>
      <c r="D79" s="6">
        <v>42794</v>
      </c>
      <c r="E79" s="7">
        <v>0.51464539300000001</v>
      </c>
      <c r="F79" s="7">
        <v>1.6026755079999999</v>
      </c>
      <c r="G79" s="7">
        <v>1.1352655970000001</v>
      </c>
      <c r="H79" s="7">
        <v>1.12419</v>
      </c>
      <c r="I79" s="7">
        <v>1.1241129999999999</v>
      </c>
      <c r="J79" s="8"/>
      <c r="K79" s="8"/>
      <c r="L79" s="7"/>
      <c r="M79" s="7"/>
      <c r="N79" s="7"/>
      <c r="O79" s="8"/>
      <c r="P79" s="8"/>
      <c r="Q79" s="8"/>
      <c r="R79" s="8"/>
    </row>
    <row r="80" spans="1:18" ht="21" hidden="1" x14ac:dyDescent="0.25">
      <c r="A80" s="3" t="s">
        <v>103</v>
      </c>
      <c r="B80" s="4">
        <v>59.857999999999997</v>
      </c>
      <c r="C80" s="5">
        <v>64343</v>
      </c>
      <c r="D80" s="6">
        <v>42794</v>
      </c>
      <c r="E80" s="7">
        <v>0.50996839400000005</v>
      </c>
      <c r="F80" s="7">
        <v>1.605300019</v>
      </c>
      <c r="G80" s="7">
        <v>1.1313523919999999</v>
      </c>
      <c r="H80" s="7">
        <v>1.121591</v>
      </c>
      <c r="I80" s="7">
        <v>1.1215139999999999</v>
      </c>
      <c r="J80" s="8"/>
      <c r="K80" s="8"/>
      <c r="L80" s="7"/>
      <c r="M80" s="7"/>
      <c r="N80" s="7"/>
      <c r="O80" s="8"/>
      <c r="P80" s="8"/>
      <c r="Q80" s="8"/>
      <c r="R80" s="8"/>
    </row>
    <row r="81" spans="1:18" x14ac:dyDescent="0.25">
      <c r="A81" s="3" t="s">
        <v>104</v>
      </c>
      <c r="B81" s="4">
        <v>60.869</v>
      </c>
      <c r="C81" s="5">
        <v>64707</v>
      </c>
      <c r="D81" s="6">
        <v>42794</v>
      </c>
      <c r="E81" s="7">
        <v>0.50538285999999999</v>
      </c>
      <c r="F81" s="7">
        <v>1.6078640150000001</v>
      </c>
      <c r="G81" s="7">
        <v>1.127460471</v>
      </c>
      <c r="H81" s="7">
        <v>1.1189990000000001</v>
      </c>
      <c r="I81" s="7">
        <v>1.1189229999999999</v>
      </c>
      <c r="J81" s="8" t="s">
        <v>19</v>
      </c>
      <c r="K81" s="8" t="s">
        <v>19</v>
      </c>
      <c r="L81" s="7">
        <v>0</v>
      </c>
      <c r="M81" s="7">
        <v>1.119</v>
      </c>
      <c r="N81" s="7">
        <v>1.119</v>
      </c>
      <c r="O81" s="8" t="s">
        <v>42</v>
      </c>
      <c r="P81" s="8" t="s">
        <v>43</v>
      </c>
      <c r="Q81" s="8" t="s">
        <v>22</v>
      </c>
      <c r="R81" s="8" t="s">
        <v>23</v>
      </c>
    </row>
  </sheetData>
  <autoFilter ref="A1:R81">
    <filterColumn colId="13">
      <customFilters>
        <customFilter operator="notEqual" val=" "/>
      </customFilters>
    </filterColumn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"/>
  <sheetViews>
    <sheetView workbookViewId="0">
      <selection activeCell="O7" sqref="O7"/>
    </sheetView>
  </sheetViews>
  <sheetFormatPr defaultRowHeight="15" x14ac:dyDescent="0.25"/>
  <cols>
    <col min="6" max="6" width="12" bestFit="1" customWidth="1"/>
  </cols>
  <sheetData>
    <row r="1" spans="1:22" ht="39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333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46" t="s">
        <v>13</v>
      </c>
      <c r="P1" s="1" t="s">
        <v>14</v>
      </c>
      <c r="Q1" s="1" t="s">
        <v>15</v>
      </c>
      <c r="R1" s="1" t="s">
        <v>16</v>
      </c>
      <c r="S1" s="1" t="s">
        <v>17</v>
      </c>
    </row>
    <row r="2" spans="1:22" x14ac:dyDescent="0.25">
      <c r="A2" s="3" t="s">
        <v>34</v>
      </c>
      <c r="B2" s="4">
        <v>0.51100000000000001</v>
      </c>
      <c r="C2" s="5">
        <v>42978</v>
      </c>
      <c r="D2" s="6">
        <v>42794</v>
      </c>
      <c r="E2" s="7">
        <v>1.001212956</v>
      </c>
      <c r="F2" s="45">
        <v>-2.3717366671093839E-3</v>
      </c>
      <c r="G2" s="7">
        <v>-0.23703004499999999</v>
      </c>
      <c r="H2" s="7">
        <v>-0.23689270500000001</v>
      </c>
      <c r="I2" s="7">
        <v>-0.23702999999999999</v>
      </c>
      <c r="J2" s="7">
        <v>-0.35269600000000001</v>
      </c>
      <c r="K2" s="8" t="s">
        <v>19</v>
      </c>
      <c r="L2" s="8"/>
      <c r="M2" s="7">
        <v>0</v>
      </c>
      <c r="N2" s="7">
        <v>-0.23799999999999999</v>
      </c>
      <c r="O2" s="47">
        <v>-0.23799999999999999</v>
      </c>
      <c r="P2" s="8" t="s">
        <v>20</v>
      </c>
      <c r="Q2" s="8" t="s">
        <v>21</v>
      </c>
      <c r="R2" s="8" t="s">
        <v>22</v>
      </c>
      <c r="S2" s="8" t="s">
        <v>23</v>
      </c>
      <c r="V2" t="s">
        <v>296</v>
      </c>
    </row>
    <row r="3" spans="1:22" x14ac:dyDescent="0.25">
      <c r="A3" s="3" t="s">
        <v>334</v>
      </c>
      <c r="B3" s="4">
        <v>0.76400000000000001</v>
      </c>
      <c r="C3" s="5">
        <v>43069</v>
      </c>
      <c r="D3" s="6">
        <v>42794</v>
      </c>
      <c r="E3" s="7">
        <v>1.001665346</v>
      </c>
      <c r="F3" s="45">
        <v>-2.1782760204751479E-3</v>
      </c>
      <c r="G3" s="7">
        <v>-0.217646535</v>
      </c>
      <c r="H3" s="7">
        <v>-0.217590591</v>
      </c>
      <c r="I3" s="7">
        <v>-0.21764700000000001</v>
      </c>
      <c r="J3" s="7">
        <v>-0.353852</v>
      </c>
      <c r="K3" s="8" t="s">
        <v>19</v>
      </c>
      <c r="L3" s="8"/>
      <c r="M3" s="7">
        <v>0</v>
      </c>
      <c r="N3" s="7">
        <v>-0.20799999999999999</v>
      </c>
      <c r="O3" s="47">
        <v>-0.20799999999999999</v>
      </c>
      <c r="P3" s="8" t="s">
        <v>335</v>
      </c>
      <c r="Q3" s="8" t="s">
        <v>336</v>
      </c>
      <c r="R3" s="8" t="s">
        <v>22</v>
      </c>
      <c r="S3" s="8" t="s">
        <v>23</v>
      </c>
    </row>
    <row r="4" spans="1:22" x14ac:dyDescent="0.25">
      <c r="A4" s="3" t="s">
        <v>337</v>
      </c>
      <c r="B4" s="4">
        <v>1.014</v>
      </c>
      <c r="C4" s="5">
        <v>43159</v>
      </c>
      <c r="D4" s="6">
        <v>42794</v>
      </c>
      <c r="E4" s="7">
        <v>1.002109742</v>
      </c>
      <c r="F4" s="45">
        <v>-2.078649487789195E-3</v>
      </c>
      <c r="G4" s="7">
        <v>-0.207646051</v>
      </c>
      <c r="H4" s="7">
        <v>-0.207649047</v>
      </c>
      <c r="I4" s="7">
        <v>-0.207647</v>
      </c>
      <c r="J4" s="7">
        <v>-0.35400900000000002</v>
      </c>
      <c r="K4" s="8" t="s">
        <v>19</v>
      </c>
      <c r="L4" s="8"/>
      <c r="M4" s="7">
        <v>0</v>
      </c>
      <c r="N4" s="7">
        <v>-0.17799999999999999</v>
      </c>
      <c r="O4" s="47">
        <v>-0.17799999999999999</v>
      </c>
      <c r="P4" s="8" t="s">
        <v>335</v>
      </c>
      <c r="Q4" s="8" t="s">
        <v>336</v>
      </c>
      <c r="R4" s="8" t="s">
        <v>22</v>
      </c>
      <c r="S4" s="8" t="s">
        <v>23</v>
      </c>
    </row>
    <row r="5" spans="1:22" x14ac:dyDescent="0.25">
      <c r="A5" s="3" t="s">
        <v>338</v>
      </c>
      <c r="B5" s="4">
        <v>1.5249999999999999</v>
      </c>
      <c r="C5" s="5">
        <v>43343</v>
      </c>
      <c r="D5" s="6">
        <v>42794</v>
      </c>
      <c r="E5" s="7">
        <v>1.0027716799999999</v>
      </c>
      <c r="F5" s="45">
        <v>-1.8149809690556854E-3</v>
      </c>
      <c r="G5" s="7">
        <v>-0.18124712400000001</v>
      </c>
      <c r="H5" s="7">
        <v>-0.181333464</v>
      </c>
      <c r="I5" s="7">
        <v>-0.181309</v>
      </c>
      <c r="J5" s="7">
        <v>-0.347914</v>
      </c>
      <c r="K5" s="8" t="s">
        <v>19</v>
      </c>
      <c r="L5" s="8"/>
      <c r="M5" s="7">
        <v>0</v>
      </c>
      <c r="N5" s="7">
        <v>-0.13</v>
      </c>
      <c r="O5" s="47">
        <v>-0.13</v>
      </c>
      <c r="P5" s="8" t="s">
        <v>335</v>
      </c>
      <c r="Q5" s="8" t="s">
        <v>336</v>
      </c>
      <c r="R5" s="8" t="s">
        <v>22</v>
      </c>
      <c r="S5" s="8" t="s">
        <v>23</v>
      </c>
    </row>
    <row r="6" spans="1:22" x14ac:dyDescent="0.25">
      <c r="A6" s="3" t="s">
        <v>339</v>
      </c>
      <c r="B6" s="4">
        <v>2.028</v>
      </c>
      <c r="C6" s="5">
        <v>43524</v>
      </c>
      <c r="D6" s="6">
        <v>42794</v>
      </c>
      <c r="E6" s="7">
        <v>1.0031650889999999</v>
      </c>
      <c r="F6" s="45">
        <v>-1.5584008684187891E-3</v>
      </c>
      <c r="G6" s="7">
        <v>-0.15559410300000001</v>
      </c>
      <c r="H6" s="7">
        <v>-0.15571871000000001</v>
      </c>
      <c r="I6" s="7">
        <v>-0.15562100000000001</v>
      </c>
      <c r="J6" s="7">
        <v>-0.33702599999999999</v>
      </c>
      <c r="K6" s="8" t="s">
        <v>19</v>
      </c>
      <c r="L6" s="8"/>
      <c r="M6" s="7">
        <v>0</v>
      </c>
      <c r="N6" s="7">
        <v>-7.8E-2</v>
      </c>
      <c r="O6" s="47">
        <v>-7.8E-2</v>
      </c>
      <c r="P6" s="8" t="s">
        <v>335</v>
      </c>
      <c r="Q6" s="8" t="s">
        <v>336</v>
      </c>
      <c r="R6" s="8" t="s">
        <v>22</v>
      </c>
      <c r="S6" s="8" t="s">
        <v>23</v>
      </c>
    </row>
    <row r="7" spans="1:22" x14ac:dyDescent="0.25">
      <c r="A7" s="3" t="s">
        <v>47</v>
      </c>
      <c r="B7" s="4">
        <v>3.0419999999999998</v>
      </c>
      <c r="C7" s="5">
        <v>43889</v>
      </c>
      <c r="D7" s="6">
        <v>42794</v>
      </c>
      <c r="E7" s="7">
        <v>1.0027750719999999</v>
      </c>
      <c r="F7" s="45">
        <v>-9.1108885365577693E-4</v>
      </c>
      <c r="G7" s="7">
        <v>-9.0982758999999996E-2</v>
      </c>
      <c r="H7" s="7">
        <v>-9.1067391999999997E-2</v>
      </c>
      <c r="I7" s="7">
        <v>-9.0791999999999998E-2</v>
      </c>
      <c r="J7" s="7">
        <v>-0.29809999999999998</v>
      </c>
      <c r="K7" s="8" t="s">
        <v>19</v>
      </c>
      <c r="L7" s="8" t="s">
        <v>187</v>
      </c>
      <c r="M7" s="7">
        <v>0</v>
      </c>
      <c r="N7" s="7">
        <v>-9.1999999999999998E-2</v>
      </c>
      <c r="O7" s="47">
        <v>-9.1999999999999998E-2</v>
      </c>
      <c r="P7" s="8" t="s">
        <v>42</v>
      </c>
      <c r="Q7" s="8" t="s">
        <v>43</v>
      </c>
      <c r="R7" s="8" t="s">
        <v>22</v>
      </c>
      <c r="S7" s="8" t="s">
        <v>341</v>
      </c>
    </row>
    <row r="8" spans="1:22" x14ac:dyDescent="0.25">
      <c r="A8" s="3" t="s">
        <v>48</v>
      </c>
      <c r="B8" s="4">
        <v>4.0529999999999999</v>
      </c>
      <c r="C8" s="5">
        <v>44253</v>
      </c>
      <c r="D8" s="6">
        <v>42794</v>
      </c>
      <c r="E8" s="7">
        <v>1.000300129</v>
      </c>
      <c r="F8" s="45">
        <v>-7.4044022829643298E-5</v>
      </c>
      <c r="G8" s="7">
        <v>-7.4032949999999998E-3</v>
      </c>
      <c r="H8" s="7">
        <v>-7.4041319999999999E-3</v>
      </c>
      <c r="I8" s="7">
        <v>-6.8979999999999996E-3</v>
      </c>
      <c r="J8" s="7">
        <v>-0.23629800000000001</v>
      </c>
      <c r="K8" s="8" t="s">
        <v>19</v>
      </c>
      <c r="L8" s="8" t="s">
        <v>187</v>
      </c>
      <c r="M8" s="7">
        <v>0</v>
      </c>
      <c r="N8" s="7">
        <v>-7.0000000000000001E-3</v>
      </c>
      <c r="O8" s="47">
        <v>-7.0000000000000001E-3</v>
      </c>
      <c r="P8" s="8" t="s">
        <v>42</v>
      </c>
      <c r="Q8" s="8" t="s">
        <v>43</v>
      </c>
      <c r="R8" s="8" t="s">
        <v>22</v>
      </c>
      <c r="S8" s="8" t="s">
        <v>341</v>
      </c>
    </row>
    <row r="9" spans="1:22" x14ac:dyDescent="0.25">
      <c r="A9" s="3" t="s">
        <v>49</v>
      </c>
      <c r="B9" s="4">
        <v>5.0720000000000001</v>
      </c>
      <c r="C9" s="5">
        <v>44620</v>
      </c>
      <c r="D9" s="6">
        <v>42794</v>
      </c>
      <c r="E9" s="7">
        <v>0.99514358800000002</v>
      </c>
      <c r="F9" s="45">
        <v>9.5978497671063044E-4</v>
      </c>
      <c r="G9" s="7">
        <v>9.6212505000000004E-2</v>
      </c>
      <c r="H9" s="7">
        <v>9.6024576E-2</v>
      </c>
      <c r="I9" s="7">
        <v>9.6675999999999998E-2</v>
      </c>
      <c r="J9" s="7">
        <v>-0.15068300000000001</v>
      </c>
      <c r="K9" s="8" t="s">
        <v>19</v>
      </c>
      <c r="L9" s="8" t="s">
        <v>187</v>
      </c>
      <c r="M9" s="7">
        <v>0</v>
      </c>
      <c r="N9" s="7">
        <v>9.8000000000000004E-2</v>
      </c>
      <c r="O9" s="47">
        <v>9.8000000000000004E-2</v>
      </c>
      <c r="P9" s="8" t="s">
        <v>42</v>
      </c>
      <c r="Q9" s="8" t="s">
        <v>43</v>
      </c>
      <c r="R9" s="8" t="s">
        <v>22</v>
      </c>
      <c r="S9" s="8" t="s">
        <v>341</v>
      </c>
    </row>
    <row r="10" spans="1:22" x14ac:dyDescent="0.25">
      <c r="A10" s="3" t="s">
        <v>50</v>
      </c>
      <c r="B10" s="4">
        <v>6.0860000000000003</v>
      </c>
      <c r="C10" s="5">
        <v>44985</v>
      </c>
      <c r="D10" s="6">
        <v>42794</v>
      </c>
      <c r="E10" s="7">
        <v>0.98750970299999996</v>
      </c>
      <c r="F10" s="45">
        <v>2.0651868168167203E-3</v>
      </c>
      <c r="G10" s="7">
        <v>0.20782200100000001</v>
      </c>
      <c r="H10" s="7">
        <v>0.20673208100000001</v>
      </c>
      <c r="I10" s="7">
        <v>0.20715900000000001</v>
      </c>
      <c r="J10" s="7">
        <v>-4.5251E-2</v>
      </c>
      <c r="K10" s="8" t="s">
        <v>19</v>
      </c>
      <c r="L10" s="8" t="s">
        <v>187</v>
      </c>
      <c r="M10" s="7">
        <v>0</v>
      </c>
      <c r="N10" s="7">
        <v>0.21</v>
      </c>
      <c r="O10" s="47">
        <v>0.21</v>
      </c>
      <c r="P10" s="8" t="s">
        <v>42</v>
      </c>
      <c r="Q10" s="8" t="s">
        <v>43</v>
      </c>
      <c r="R10" s="8" t="s">
        <v>22</v>
      </c>
      <c r="S10" s="8" t="s">
        <v>341</v>
      </c>
    </row>
    <row r="11" spans="1:22" x14ac:dyDescent="0.25">
      <c r="A11" s="3" t="s">
        <v>51</v>
      </c>
      <c r="B11" s="4">
        <v>7.1029999999999998</v>
      </c>
      <c r="C11" s="5">
        <v>45351</v>
      </c>
      <c r="D11" s="6">
        <v>42794</v>
      </c>
      <c r="E11" s="7">
        <v>0.97719341999999998</v>
      </c>
      <c r="F11" s="45">
        <v>3.2481198014891704E-3</v>
      </c>
      <c r="G11" s="7">
        <v>0.328587772</v>
      </c>
      <c r="H11" s="7">
        <v>0.32534006199999999</v>
      </c>
      <c r="I11" s="7">
        <v>0.32491999999999999</v>
      </c>
      <c r="J11" s="7">
        <v>7.4034000000000003E-2</v>
      </c>
      <c r="K11" s="8" t="s">
        <v>19</v>
      </c>
      <c r="L11" s="8" t="s">
        <v>187</v>
      </c>
      <c r="M11" s="7">
        <v>0</v>
      </c>
      <c r="N11" s="7">
        <v>0.32900000000000001</v>
      </c>
      <c r="O11" s="47">
        <v>0.32900000000000001</v>
      </c>
      <c r="P11" s="8" t="s">
        <v>42</v>
      </c>
      <c r="Q11" s="8" t="s">
        <v>43</v>
      </c>
      <c r="R11" s="8" t="s">
        <v>22</v>
      </c>
      <c r="S11" s="8" t="s">
        <v>341</v>
      </c>
    </row>
    <row r="12" spans="1:22" x14ac:dyDescent="0.25">
      <c r="A12" s="3" t="s">
        <v>52</v>
      </c>
      <c r="B12" s="4">
        <v>8.1170000000000009</v>
      </c>
      <c r="C12" s="5">
        <v>45716</v>
      </c>
      <c r="D12" s="6">
        <v>42794</v>
      </c>
      <c r="E12" s="7">
        <v>0.96445952599999996</v>
      </c>
      <c r="F12" s="45">
        <v>4.4584079542450434E-3</v>
      </c>
      <c r="G12" s="7">
        <v>0.45400589899999999</v>
      </c>
      <c r="H12" s="7">
        <v>0.44683614199999999</v>
      </c>
      <c r="I12" s="7">
        <v>0.44473000000000001</v>
      </c>
      <c r="J12" s="7">
        <v>0.199244</v>
      </c>
      <c r="K12" s="8" t="s">
        <v>19</v>
      </c>
      <c r="L12" s="8" t="s">
        <v>187</v>
      </c>
      <c r="M12" s="7">
        <v>0</v>
      </c>
      <c r="N12" s="7">
        <v>0.45100000000000001</v>
      </c>
      <c r="O12" s="47">
        <v>0.45100000000000001</v>
      </c>
      <c r="P12" s="8" t="s">
        <v>42</v>
      </c>
      <c r="Q12" s="8" t="s">
        <v>43</v>
      </c>
      <c r="R12" s="8" t="s">
        <v>22</v>
      </c>
      <c r="S12" s="8" t="s">
        <v>341</v>
      </c>
    </row>
    <row r="13" spans="1:22" x14ac:dyDescent="0.25">
      <c r="A13" s="3" t="s">
        <v>53</v>
      </c>
      <c r="B13" s="4">
        <v>9.1280000000000001</v>
      </c>
      <c r="C13" s="5">
        <v>46080</v>
      </c>
      <c r="D13" s="6">
        <v>42794</v>
      </c>
      <c r="E13" s="7">
        <v>0.94989288900000002</v>
      </c>
      <c r="F13" s="45">
        <v>5.6318252280786064E-3</v>
      </c>
      <c r="G13" s="7">
        <v>0.57790928200000002</v>
      </c>
      <c r="H13" s="7">
        <v>0.56477137799999999</v>
      </c>
      <c r="I13" s="7">
        <v>0.56011100000000003</v>
      </c>
      <c r="J13" s="7">
        <v>0.32045299999999999</v>
      </c>
      <c r="K13" s="8" t="s">
        <v>19</v>
      </c>
      <c r="L13" s="8" t="s">
        <v>187</v>
      </c>
      <c r="M13" s="7">
        <v>0</v>
      </c>
      <c r="N13" s="7">
        <v>0.56799999999999995</v>
      </c>
      <c r="O13" s="47">
        <v>0.56799999999999995</v>
      </c>
      <c r="P13" s="8" t="s">
        <v>42</v>
      </c>
      <c r="Q13" s="8" t="s">
        <v>43</v>
      </c>
      <c r="R13" s="8" t="s">
        <v>22</v>
      </c>
      <c r="S13" s="8" t="s">
        <v>341</v>
      </c>
    </row>
    <row r="14" spans="1:22" x14ac:dyDescent="0.25">
      <c r="A14" s="3" t="s">
        <v>54</v>
      </c>
      <c r="B14" s="4">
        <v>10.138999999999999</v>
      </c>
      <c r="C14" s="5">
        <v>46444</v>
      </c>
      <c r="D14" s="6">
        <v>42794</v>
      </c>
      <c r="E14" s="7">
        <v>0.93410769199999999</v>
      </c>
      <c r="F14" s="45">
        <v>6.7229798274597566E-3</v>
      </c>
      <c r="G14" s="7">
        <v>0.69574069400000005</v>
      </c>
      <c r="H14" s="7">
        <v>0.67456297600000004</v>
      </c>
      <c r="I14" s="7">
        <v>0.66661599999999999</v>
      </c>
      <c r="J14" s="7">
        <v>0.43473800000000001</v>
      </c>
      <c r="K14" s="8" t="s">
        <v>19</v>
      </c>
      <c r="L14" s="8" t="s">
        <v>187</v>
      </c>
      <c r="M14" s="7">
        <v>0</v>
      </c>
      <c r="N14" s="7">
        <v>0.67600000000000005</v>
      </c>
      <c r="O14" s="47">
        <v>0.67600000000000005</v>
      </c>
      <c r="P14" s="8" t="s">
        <v>42</v>
      </c>
      <c r="Q14" s="8" t="s">
        <v>43</v>
      </c>
      <c r="R14" s="8" t="s">
        <v>22</v>
      </c>
      <c r="S14" s="8" t="s">
        <v>341</v>
      </c>
    </row>
    <row r="15" spans="1:22" x14ac:dyDescent="0.25">
      <c r="A15" s="3" t="s">
        <v>55</v>
      </c>
      <c r="B15" s="4">
        <v>11.161</v>
      </c>
      <c r="C15" s="5">
        <v>46812</v>
      </c>
      <c r="D15" s="6">
        <v>42794</v>
      </c>
      <c r="E15" s="7">
        <v>0.91730497600000005</v>
      </c>
      <c r="F15" s="45">
        <v>7.7335742836205298E-3</v>
      </c>
      <c r="G15" s="7">
        <v>0.80771508800000003</v>
      </c>
      <c r="H15" s="7">
        <v>0.77635555899999997</v>
      </c>
      <c r="I15" s="7">
        <v>0.76450700000000005</v>
      </c>
      <c r="J15" s="7">
        <v>0.54010199999999997</v>
      </c>
      <c r="K15" s="8" t="s">
        <v>19</v>
      </c>
      <c r="L15" s="8" t="s">
        <v>187</v>
      </c>
      <c r="M15" s="7">
        <v>0</v>
      </c>
      <c r="N15" s="7">
        <v>0.77500000000000002</v>
      </c>
      <c r="O15" s="47">
        <v>0.77500000000000002</v>
      </c>
      <c r="P15" s="8" t="s">
        <v>42</v>
      </c>
      <c r="Q15" s="8" t="s">
        <v>43</v>
      </c>
      <c r="R15" s="8" t="s">
        <v>22</v>
      </c>
      <c r="S15" s="8" t="s">
        <v>341</v>
      </c>
    </row>
    <row r="16" spans="1:22" x14ac:dyDescent="0.25">
      <c r="A16" s="3" t="s">
        <v>56</v>
      </c>
      <c r="B16" s="4">
        <v>12.175000000000001</v>
      </c>
      <c r="C16" s="5">
        <v>47177</v>
      </c>
      <c r="D16" s="6">
        <v>42794</v>
      </c>
      <c r="E16" s="7">
        <v>0.90035686400000003</v>
      </c>
      <c r="F16" s="45">
        <v>8.6212795641715904E-3</v>
      </c>
      <c r="G16" s="7">
        <v>0.90899969400000002</v>
      </c>
      <c r="H16" s="7">
        <v>0.86585498100000002</v>
      </c>
      <c r="I16" s="7">
        <v>0.84987299999999999</v>
      </c>
      <c r="J16" s="7">
        <v>0.63258300000000001</v>
      </c>
      <c r="K16" s="8" t="s">
        <v>19</v>
      </c>
      <c r="L16" s="8" t="s">
        <v>187</v>
      </c>
      <c r="M16" s="7">
        <v>0</v>
      </c>
      <c r="N16" s="7">
        <v>0.86199999999999999</v>
      </c>
      <c r="O16" s="47">
        <v>0.86199999999999999</v>
      </c>
      <c r="P16" s="8" t="s">
        <v>42</v>
      </c>
      <c r="Q16" s="8" t="s">
        <v>43</v>
      </c>
      <c r="R16" s="8" t="s">
        <v>22</v>
      </c>
      <c r="S16" s="8" t="s">
        <v>341</v>
      </c>
    </row>
    <row r="17" spans="1:19" x14ac:dyDescent="0.25">
      <c r="A17" s="3" t="s">
        <v>352</v>
      </c>
      <c r="B17" s="4">
        <v>13.189</v>
      </c>
      <c r="C17" s="5">
        <v>47542</v>
      </c>
      <c r="D17" s="6">
        <v>42794</v>
      </c>
      <c r="E17" s="7">
        <v>0.88333648600000003</v>
      </c>
      <c r="F17" s="45">
        <v>9.4055746973689732E-3</v>
      </c>
      <c r="G17" s="7">
        <v>1.001384066</v>
      </c>
      <c r="H17" s="7">
        <v>0.94499461500000004</v>
      </c>
      <c r="I17" s="7">
        <v>0.92489100000000002</v>
      </c>
      <c r="J17" s="7">
        <v>0.70341100000000001</v>
      </c>
      <c r="K17" s="8" t="s">
        <v>19</v>
      </c>
      <c r="L17" s="8" t="s">
        <v>187</v>
      </c>
      <c r="M17" s="7">
        <v>0</v>
      </c>
      <c r="N17" s="7">
        <v>0.93799999999999994</v>
      </c>
      <c r="O17" s="47">
        <v>0.93799999999999994</v>
      </c>
      <c r="P17" s="8" t="s">
        <v>42</v>
      </c>
      <c r="Q17" s="8" t="s">
        <v>43</v>
      </c>
      <c r="R17" s="8" t="s">
        <v>22</v>
      </c>
      <c r="S17" s="8" t="s">
        <v>341</v>
      </c>
    </row>
    <row r="18" spans="1:19" x14ac:dyDescent="0.25">
      <c r="A18" s="3" t="s">
        <v>354</v>
      </c>
      <c r="B18" s="4">
        <v>14.202999999999999</v>
      </c>
      <c r="C18" s="5">
        <v>47907</v>
      </c>
      <c r="D18" s="6">
        <v>42794</v>
      </c>
      <c r="E18" s="7">
        <v>0.86661348000000005</v>
      </c>
      <c r="F18" s="45">
        <v>1.0079874303082317E-2</v>
      </c>
      <c r="G18" s="7">
        <v>1.0837103239999999</v>
      </c>
      <c r="H18" s="7">
        <v>1.0130847380000001</v>
      </c>
      <c r="I18" s="7">
        <v>0.98899400000000004</v>
      </c>
      <c r="J18" s="7">
        <v>0.77446499999999996</v>
      </c>
      <c r="K18" s="8" t="s">
        <v>19</v>
      </c>
      <c r="L18" s="8" t="s">
        <v>187</v>
      </c>
      <c r="M18" s="7">
        <v>0</v>
      </c>
      <c r="N18" s="7">
        <v>1.0029999999999999</v>
      </c>
      <c r="O18" s="47">
        <v>1.0029999999999999</v>
      </c>
      <c r="P18" s="8" t="s">
        <v>42</v>
      </c>
      <c r="Q18" s="8" t="s">
        <v>43</v>
      </c>
      <c r="R18" s="8" t="s">
        <v>22</v>
      </c>
      <c r="S18" s="8" t="s">
        <v>341</v>
      </c>
    </row>
    <row r="19" spans="1:19" x14ac:dyDescent="0.25">
      <c r="A19" s="3" t="s">
        <v>59</v>
      </c>
      <c r="B19" s="4">
        <v>15.214</v>
      </c>
      <c r="C19" s="5">
        <v>48271</v>
      </c>
      <c r="D19" s="6">
        <v>42794</v>
      </c>
      <c r="E19" s="7">
        <v>0.85037110299999996</v>
      </c>
      <c r="F19" s="45">
        <v>1.0653583327396052E-2</v>
      </c>
      <c r="G19" s="7">
        <v>1.1565562</v>
      </c>
      <c r="H19" s="7">
        <v>1.071053483</v>
      </c>
      <c r="I19" s="7">
        <v>1.043191</v>
      </c>
      <c r="J19" s="7">
        <v>0.84562599999999999</v>
      </c>
      <c r="K19" s="8" t="s">
        <v>19</v>
      </c>
      <c r="L19" s="8" t="s">
        <v>187</v>
      </c>
      <c r="M19" s="7">
        <v>0</v>
      </c>
      <c r="N19" s="7">
        <v>1.0580000000000001</v>
      </c>
      <c r="O19" s="47">
        <v>1.0580000000000001</v>
      </c>
      <c r="P19" s="8" t="s">
        <v>42</v>
      </c>
      <c r="Q19" s="8" t="s">
        <v>43</v>
      </c>
      <c r="R19" s="8" t="s">
        <v>22</v>
      </c>
      <c r="S19" s="8" t="s">
        <v>341</v>
      </c>
    </row>
    <row r="20" spans="1:19" x14ac:dyDescent="0.25">
      <c r="A20" s="3" t="s">
        <v>357</v>
      </c>
      <c r="B20" s="4">
        <v>16.233000000000001</v>
      </c>
      <c r="C20" s="5">
        <v>48638</v>
      </c>
      <c r="D20" s="6">
        <v>42794</v>
      </c>
      <c r="E20" s="7">
        <v>0.83451795299999998</v>
      </c>
      <c r="F20" s="45">
        <v>1.1143800162045123E-2</v>
      </c>
      <c r="G20" s="7">
        <v>1.2215394369999999</v>
      </c>
      <c r="H20" s="7">
        <v>1.1206123560000001</v>
      </c>
      <c r="I20" s="7">
        <v>1.089456</v>
      </c>
      <c r="J20" s="7">
        <v>0.88422500000000004</v>
      </c>
      <c r="K20" s="8" t="s">
        <v>19</v>
      </c>
      <c r="L20" s="8" t="s">
        <v>187</v>
      </c>
      <c r="M20" s="7">
        <v>0</v>
      </c>
      <c r="N20" s="7">
        <v>1.105</v>
      </c>
      <c r="O20" s="47">
        <v>1.105</v>
      </c>
      <c r="P20" s="8" t="s">
        <v>42</v>
      </c>
      <c r="Q20" s="8" t="s">
        <v>43</v>
      </c>
      <c r="R20" s="8" t="s">
        <v>22</v>
      </c>
      <c r="S20" s="8" t="s">
        <v>341</v>
      </c>
    </row>
    <row r="21" spans="1:19" x14ac:dyDescent="0.25">
      <c r="A21" s="3" t="s">
        <v>359</v>
      </c>
      <c r="B21" s="4">
        <v>17.247</v>
      </c>
      <c r="C21" s="5">
        <v>49003</v>
      </c>
      <c r="D21" s="6">
        <v>42794</v>
      </c>
      <c r="E21" s="7">
        <v>0.81935107399999996</v>
      </c>
      <c r="F21" s="45">
        <v>1.1552157363572785E-2</v>
      </c>
      <c r="G21" s="7">
        <v>1.278339471</v>
      </c>
      <c r="H21" s="7">
        <v>1.161914125</v>
      </c>
      <c r="I21" s="7">
        <v>1.1279600000000001</v>
      </c>
      <c r="J21" s="7">
        <v>0.92280499999999999</v>
      </c>
      <c r="K21" s="8" t="s">
        <v>19</v>
      </c>
      <c r="L21" s="8" t="s">
        <v>187</v>
      </c>
      <c r="M21" s="7">
        <v>0</v>
      </c>
      <c r="N21" s="7">
        <v>1.1439999999999999</v>
      </c>
      <c r="O21" s="47">
        <v>1.1439999999999999</v>
      </c>
      <c r="P21" s="8" t="s">
        <v>42</v>
      </c>
      <c r="Q21" s="8" t="s">
        <v>43</v>
      </c>
      <c r="R21" s="8" t="s">
        <v>22</v>
      </c>
      <c r="S21" s="8" t="s">
        <v>341</v>
      </c>
    </row>
    <row r="22" spans="1:19" x14ac:dyDescent="0.25">
      <c r="A22" s="3" t="s">
        <v>361</v>
      </c>
      <c r="B22" s="4">
        <v>18.260999999999999</v>
      </c>
      <c r="C22" s="5">
        <v>49368</v>
      </c>
      <c r="D22" s="6">
        <v>42794</v>
      </c>
      <c r="E22" s="7">
        <v>0.80487672399999999</v>
      </c>
      <c r="F22" s="45">
        <v>1.1886798665087829E-2</v>
      </c>
      <c r="G22" s="7">
        <v>1.3275549680000001</v>
      </c>
      <c r="H22" s="7">
        <v>1.195772743</v>
      </c>
      <c r="I22" s="7">
        <v>1.1595249999999999</v>
      </c>
      <c r="J22" s="7">
        <v>0.96158200000000005</v>
      </c>
      <c r="K22" s="8" t="s">
        <v>19</v>
      </c>
      <c r="L22" s="8" t="s">
        <v>187</v>
      </c>
      <c r="M22" s="7">
        <v>0</v>
      </c>
      <c r="N22" s="7">
        <v>1.1759999999999999</v>
      </c>
      <c r="O22" s="47">
        <v>1.1759999999999999</v>
      </c>
      <c r="P22" s="8" t="s">
        <v>42</v>
      </c>
      <c r="Q22" s="8" t="s">
        <v>43</v>
      </c>
      <c r="R22" s="8" t="s">
        <v>22</v>
      </c>
      <c r="S22" s="8" t="s">
        <v>341</v>
      </c>
    </row>
    <row r="23" spans="1:19" x14ac:dyDescent="0.25">
      <c r="A23" s="3" t="s">
        <v>363</v>
      </c>
      <c r="B23" s="4">
        <v>19.277999999999999</v>
      </c>
      <c r="C23" s="5">
        <v>49734</v>
      </c>
      <c r="D23" s="6">
        <v>42794</v>
      </c>
      <c r="E23" s="7">
        <v>0.79105335799999998</v>
      </c>
      <c r="F23" s="45">
        <v>1.2158551665401453E-2</v>
      </c>
      <c r="G23" s="7">
        <v>1.370164299</v>
      </c>
      <c r="H23" s="7">
        <v>1.223276732</v>
      </c>
      <c r="I23" s="7">
        <v>1.185211</v>
      </c>
      <c r="J23" s="7">
        <v>1.000664</v>
      </c>
      <c r="K23" s="8" t="s">
        <v>19</v>
      </c>
      <c r="L23" s="8" t="s">
        <v>187</v>
      </c>
      <c r="M23" s="7">
        <v>0</v>
      </c>
      <c r="N23" s="7">
        <v>1.202</v>
      </c>
      <c r="O23" s="47">
        <v>1.202</v>
      </c>
      <c r="P23" s="8" t="s">
        <v>42</v>
      </c>
      <c r="Q23" s="8" t="s">
        <v>43</v>
      </c>
      <c r="R23" s="8" t="s">
        <v>22</v>
      </c>
      <c r="S23" s="8" t="s">
        <v>341</v>
      </c>
    </row>
    <row r="24" spans="1:19" x14ac:dyDescent="0.25">
      <c r="A24" s="3" t="s">
        <v>64</v>
      </c>
      <c r="B24" s="4">
        <v>20.289000000000001</v>
      </c>
      <c r="C24" s="5">
        <v>50098</v>
      </c>
      <c r="D24" s="6">
        <v>42794</v>
      </c>
      <c r="E24" s="7">
        <v>0.77797636100000001</v>
      </c>
      <c r="F24" s="45">
        <v>1.23742182708495E-2</v>
      </c>
      <c r="G24" s="7">
        <v>1.4066127559999999</v>
      </c>
      <c r="H24" s="7">
        <v>1.2451095679999999</v>
      </c>
      <c r="I24" s="7">
        <v>1.2056739999999999</v>
      </c>
      <c r="J24" s="7">
        <v>1.039728</v>
      </c>
      <c r="K24" s="8" t="s">
        <v>19</v>
      </c>
      <c r="L24" s="8" t="s">
        <v>187</v>
      </c>
      <c r="M24" s="7">
        <v>0</v>
      </c>
      <c r="N24" s="7">
        <v>1.2230000000000001</v>
      </c>
      <c r="O24" s="47">
        <v>1.2230000000000001</v>
      </c>
      <c r="P24" s="8" t="s">
        <v>42</v>
      </c>
      <c r="Q24" s="8" t="s">
        <v>43</v>
      </c>
      <c r="R24" s="8" t="s">
        <v>22</v>
      </c>
      <c r="S24" s="8" t="s">
        <v>341</v>
      </c>
    </row>
    <row r="25" spans="1:19" x14ac:dyDescent="0.25">
      <c r="A25" s="3" t="s">
        <v>366</v>
      </c>
      <c r="B25" s="4">
        <v>21.3</v>
      </c>
      <c r="C25" s="5">
        <v>50462</v>
      </c>
      <c r="D25" s="6">
        <v>42794</v>
      </c>
      <c r="E25" s="7">
        <v>0.76543790499999997</v>
      </c>
      <c r="F25" s="45">
        <v>1.2549633055943726E-2</v>
      </c>
      <c r="G25" s="7">
        <v>1.438693437</v>
      </c>
      <c r="H25" s="7">
        <v>1.262871012</v>
      </c>
      <c r="I25" s="7">
        <v>1.222478</v>
      </c>
      <c r="J25" s="7">
        <v>1.0559160000000001</v>
      </c>
      <c r="K25" s="8" t="s">
        <v>19</v>
      </c>
      <c r="L25" s="8" t="s">
        <v>187</v>
      </c>
      <c r="M25" s="7">
        <v>0</v>
      </c>
      <c r="N25" s="7">
        <v>1.24</v>
      </c>
      <c r="O25" s="47">
        <v>1.24</v>
      </c>
      <c r="P25" s="8" t="s">
        <v>42</v>
      </c>
      <c r="Q25" s="8" t="s">
        <v>43</v>
      </c>
      <c r="R25" s="8" t="s">
        <v>22</v>
      </c>
      <c r="S25" s="8" t="s">
        <v>341</v>
      </c>
    </row>
    <row r="26" spans="1:19" x14ac:dyDescent="0.25">
      <c r="A26" s="3" t="s">
        <v>368</v>
      </c>
      <c r="B26" s="4">
        <v>22.318999999999999</v>
      </c>
      <c r="C26" s="5">
        <v>50829</v>
      </c>
      <c r="D26" s="6">
        <v>42794</v>
      </c>
      <c r="E26" s="7">
        <v>0.75311209499999998</v>
      </c>
      <c r="F26" s="45">
        <v>1.2703774882273727E-2</v>
      </c>
      <c r="G26" s="7">
        <v>1.4687802059999999</v>
      </c>
      <c r="H26" s="7">
        <v>1.2784810609999999</v>
      </c>
      <c r="I26" s="7">
        <v>1.2373069999999999</v>
      </c>
      <c r="J26" s="7">
        <v>1.0722910000000001</v>
      </c>
      <c r="K26" s="8" t="s">
        <v>19</v>
      </c>
      <c r="L26" s="8" t="s">
        <v>187</v>
      </c>
      <c r="M26" s="7">
        <v>0</v>
      </c>
      <c r="N26" s="7">
        <v>1.2549999999999999</v>
      </c>
      <c r="O26" s="47">
        <v>1.2549999999999999</v>
      </c>
      <c r="P26" s="8" t="s">
        <v>42</v>
      </c>
      <c r="Q26" s="8" t="s">
        <v>43</v>
      </c>
      <c r="R26" s="8" t="s">
        <v>22</v>
      </c>
      <c r="S26" s="8" t="s">
        <v>341</v>
      </c>
    </row>
    <row r="27" spans="1:19" x14ac:dyDescent="0.25">
      <c r="A27" s="3" t="s">
        <v>370</v>
      </c>
      <c r="B27" s="4">
        <v>23.335999999999999</v>
      </c>
      <c r="C27" s="5">
        <v>51195</v>
      </c>
      <c r="D27" s="6">
        <v>42794</v>
      </c>
      <c r="E27" s="7">
        <v>0.74154270300000003</v>
      </c>
      <c r="F27" s="45">
        <v>1.2813725801116355E-2</v>
      </c>
      <c r="G27" s="7">
        <v>1.4935650680000001</v>
      </c>
      <c r="H27" s="7">
        <v>1.2896173339999999</v>
      </c>
      <c r="I27" s="7">
        <v>1.2481960000000001</v>
      </c>
      <c r="J27" s="7">
        <v>1.088735</v>
      </c>
      <c r="K27" s="8" t="s">
        <v>19</v>
      </c>
      <c r="L27" s="8" t="s">
        <v>187</v>
      </c>
      <c r="M27" s="7">
        <v>0</v>
      </c>
      <c r="N27" s="7">
        <v>1.266</v>
      </c>
      <c r="O27" s="47">
        <v>1.266</v>
      </c>
      <c r="P27" s="8" t="s">
        <v>42</v>
      </c>
      <c r="Q27" s="8" t="s">
        <v>43</v>
      </c>
      <c r="R27" s="8" t="s">
        <v>22</v>
      </c>
      <c r="S27" s="8" t="s">
        <v>341</v>
      </c>
    </row>
    <row r="28" spans="1:19" x14ac:dyDescent="0.25">
      <c r="A28" s="3" t="s">
        <v>372</v>
      </c>
      <c r="B28" s="4">
        <v>24.35</v>
      </c>
      <c r="C28" s="5">
        <v>51560</v>
      </c>
      <c r="D28" s="6">
        <v>42794</v>
      </c>
      <c r="E28" s="7">
        <v>0.73022832000000004</v>
      </c>
      <c r="F28" s="45">
        <v>1.2911623269727021E-2</v>
      </c>
      <c r="G28" s="7">
        <v>1.5171856239999999</v>
      </c>
      <c r="H28" s="7">
        <v>1.2995338190000001</v>
      </c>
      <c r="I28" s="7">
        <v>1.257917</v>
      </c>
      <c r="J28" s="7">
        <v>1.1051569999999999</v>
      </c>
      <c r="K28" s="8" t="s">
        <v>19</v>
      </c>
      <c r="L28" s="8" t="s">
        <v>187</v>
      </c>
      <c r="M28" s="7">
        <v>0</v>
      </c>
      <c r="N28" s="7">
        <v>1.276</v>
      </c>
      <c r="O28" s="47">
        <v>1.276</v>
      </c>
      <c r="P28" s="8" t="s">
        <v>42</v>
      </c>
      <c r="Q28" s="8" t="s">
        <v>43</v>
      </c>
      <c r="R28" s="8" t="s">
        <v>22</v>
      </c>
      <c r="S28" s="8" t="s">
        <v>341</v>
      </c>
    </row>
    <row r="29" spans="1:19" x14ac:dyDescent="0.25">
      <c r="A29" s="3" t="s">
        <v>69</v>
      </c>
      <c r="B29" s="4">
        <v>25.364000000000001</v>
      </c>
      <c r="C29" s="5">
        <v>51925</v>
      </c>
      <c r="D29" s="6">
        <v>42794</v>
      </c>
      <c r="E29" s="7">
        <v>0.71952716800000005</v>
      </c>
      <c r="F29" s="45">
        <v>1.2977544384234263E-2</v>
      </c>
      <c r="G29" s="7">
        <v>1.536836831</v>
      </c>
      <c r="H29" s="7">
        <v>1.3062118149999999</v>
      </c>
      <c r="I29" s="7">
        <v>1.2648269999999999</v>
      </c>
      <c r="J29" s="7">
        <v>1.121672</v>
      </c>
      <c r="K29" s="8" t="s">
        <v>19</v>
      </c>
      <c r="L29" s="8" t="s">
        <v>187</v>
      </c>
      <c r="M29" s="7">
        <v>0</v>
      </c>
      <c r="N29" s="7">
        <v>1.2829999999999999</v>
      </c>
      <c r="O29" s="47">
        <v>1.2829999999999999</v>
      </c>
      <c r="P29" s="8" t="s">
        <v>42</v>
      </c>
      <c r="Q29" s="8" t="s">
        <v>43</v>
      </c>
      <c r="R29" s="8" t="s">
        <v>22</v>
      </c>
      <c r="S29" s="8" t="s">
        <v>341</v>
      </c>
    </row>
    <row r="30" spans="1:19" x14ac:dyDescent="0.25">
      <c r="A30" s="3" t="s">
        <v>375</v>
      </c>
      <c r="B30" s="4">
        <v>26.375</v>
      </c>
      <c r="C30" s="5">
        <v>52289</v>
      </c>
      <c r="D30" s="6">
        <v>42794</v>
      </c>
      <c r="E30" s="7">
        <v>0.70910487600000005</v>
      </c>
      <c r="F30" s="45">
        <v>1.3033245208482629E-2</v>
      </c>
      <c r="G30" s="7">
        <v>1.5553692219999999</v>
      </c>
      <c r="H30" s="7">
        <v>1.311854812</v>
      </c>
      <c r="I30" s="7">
        <v>1.270761</v>
      </c>
      <c r="J30" s="7">
        <v>1.1289990000000001</v>
      </c>
      <c r="K30" s="8" t="s">
        <v>19</v>
      </c>
      <c r="L30" s="8" t="s">
        <v>187</v>
      </c>
      <c r="M30" s="7">
        <v>0</v>
      </c>
      <c r="N30" s="7">
        <v>1.2889999999999999</v>
      </c>
      <c r="O30" s="47">
        <v>1.2889999999999999</v>
      </c>
      <c r="P30" s="8" t="s">
        <v>42</v>
      </c>
      <c r="Q30" s="8" t="s">
        <v>43</v>
      </c>
      <c r="R30" s="8" t="s">
        <v>22</v>
      </c>
      <c r="S30" s="8" t="s">
        <v>341</v>
      </c>
    </row>
    <row r="31" spans="1:19" x14ac:dyDescent="0.25">
      <c r="A31" s="3" t="s">
        <v>377</v>
      </c>
      <c r="B31" s="4">
        <v>27.393999999999998</v>
      </c>
      <c r="C31" s="5">
        <v>52656</v>
      </c>
      <c r="D31" s="6">
        <v>42794</v>
      </c>
      <c r="E31" s="7">
        <v>0.69888750799999999</v>
      </c>
      <c r="F31" s="45">
        <v>1.3078034241104536E-2</v>
      </c>
      <c r="G31" s="7">
        <v>1.572747482</v>
      </c>
      <c r="H31" s="7">
        <v>1.316392577</v>
      </c>
      <c r="I31" s="7">
        <v>1.275717</v>
      </c>
      <c r="J31" s="7">
        <v>1.136414</v>
      </c>
      <c r="K31" s="8" t="s">
        <v>19</v>
      </c>
      <c r="L31" s="8" t="s">
        <v>187</v>
      </c>
      <c r="M31" s="7">
        <v>0</v>
      </c>
      <c r="N31" s="7">
        <v>1.294</v>
      </c>
      <c r="O31" s="47">
        <v>1.294</v>
      </c>
      <c r="P31" s="8" t="s">
        <v>42</v>
      </c>
      <c r="Q31" s="8" t="s">
        <v>43</v>
      </c>
      <c r="R31" s="8" t="s">
        <v>22</v>
      </c>
      <c r="S31" s="8" t="s">
        <v>341</v>
      </c>
    </row>
    <row r="32" spans="1:19" x14ac:dyDescent="0.25">
      <c r="A32" s="3" t="s">
        <v>379</v>
      </c>
      <c r="B32" s="4">
        <v>28.408000000000001</v>
      </c>
      <c r="C32" s="5">
        <v>53021</v>
      </c>
      <c r="D32" s="6">
        <v>42794</v>
      </c>
      <c r="E32" s="7">
        <v>0.68904264199999998</v>
      </c>
      <c r="F32" s="45">
        <v>1.3110664248343427E-2</v>
      </c>
      <c r="G32" s="7">
        <v>1.58857961</v>
      </c>
      <c r="H32" s="7">
        <v>1.3196985859999999</v>
      </c>
      <c r="I32" s="7">
        <v>1.279576</v>
      </c>
      <c r="J32" s="7">
        <v>1.1438090000000001</v>
      </c>
      <c r="K32" s="8" t="s">
        <v>19</v>
      </c>
      <c r="L32" s="8" t="s">
        <v>187</v>
      </c>
      <c r="M32" s="7">
        <v>0</v>
      </c>
      <c r="N32" s="7">
        <v>1.298</v>
      </c>
      <c r="O32" s="47">
        <v>1.298</v>
      </c>
      <c r="P32" s="8" t="s">
        <v>42</v>
      </c>
      <c r="Q32" s="8" t="s">
        <v>43</v>
      </c>
      <c r="R32" s="8" t="s">
        <v>22</v>
      </c>
      <c r="S32" s="8" t="s">
        <v>341</v>
      </c>
    </row>
    <row r="33" spans="1:19" x14ac:dyDescent="0.25">
      <c r="A33" s="3" t="s">
        <v>381</v>
      </c>
      <c r="B33" s="4">
        <v>29.422000000000001</v>
      </c>
      <c r="C33" s="5">
        <v>53386</v>
      </c>
      <c r="D33" s="6">
        <v>42794</v>
      </c>
      <c r="E33" s="7">
        <v>0.67948816400000001</v>
      </c>
      <c r="F33" s="45">
        <v>1.3133456110633431E-2</v>
      </c>
      <c r="G33" s="7">
        <v>1.603196308</v>
      </c>
      <c r="H33" s="7">
        <v>1.3220078740000001</v>
      </c>
      <c r="I33" s="7">
        <v>1.2825489999999999</v>
      </c>
      <c r="J33" s="7">
        <v>1.1512180000000001</v>
      </c>
      <c r="K33" s="8" t="s">
        <v>19</v>
      </c>
      <c r="L33" s="8" t="s">
        <v>187</v>
      </c>
      <c r="M33" s="7">
        <v>0</v>
      </c>
      <c r="N33" s="7">
        <v>1.3009999999999999</v>
      </c>
      <c r="O33" s="47">
        <v>1.3009999999999999</v>
      </c>
      <c r="P33" s="8" t="s">
        <v>42</v>
      </c>
      <c r="Q33" s="8" t="s">
        <v>43</v>
      </c>
      <c r="R33" s="8" t="s">
        <v>22</v>
      </c>
      <c r="S33" s="8" t="s">
        <v>341</v>
      </c>
    </row>
    <row r="34" spans="1:19" x14ac:dyDescent="0.25">
      <c r="A34" s="3" t="s">
        <v>74</v>
      </c>
      <c r="B34" s="4">
        <v>30.436</v>
      </c>
      <c r="C34" s="5">
        <v>53751</v>
      </c>
      <c r="D34" s="6">
        <v>42794</v>
      </c>
      <c r="E34" s="7">
        <v>0.67026573700000003</v>
      </c>
      <c r="F34" s="45">
        <v>1.314494553467702E-2</v>
      </c>
      <c r="G34" s="7">
        <v>1.6163220490000001</v>
      </c>
      <c r="H34" s="7">
        <v>1.3231720140000001</v>
      </c>
      <c r="I34" s="7">
        <v>1.2845340000000001</v>
      </c>
      <c r="J34" s="7">
        <v>1.158649</v>
      </c>
      <c r="K34" s="8" t="s">
        <v>19</v>
      </c>
      <c r="L34" s="8" t="s">
        <v>187</v>
      </c>
      <c r="M34" s="7">
        <v>0</v>
      </c>
      <c r="N34" s="7">
        <v>1.3029999999999999</v>
      </c>
      <c r="O34" s="47">
        <v>1.3029999999999999</v>
      </c>
      <c r="P34" s="8" t="s">
        <v>42</v>
      </c>
      <c r="Q34" s="8" t="s">
        <v>43</v>
      </c>
      <c r="R34" s="8" t="s">
        <v>22</v>
      </c>
      <c r="S34" s="8" t="s">
        <v>341</v>
      </c>
    </row>
    <row r="35" spans="1:19" x14ac:dyDescent="0.25">
      <c r="A35" s="3" t="s">
        <v>388</v>
      </c>
      <c r="B35" s="4">
        <v>35.511000000000003</v>
      </c>
      <c r="C35" s="5">
        <v>55578</v>
      </c>
      <c r="D35" s="6">
        <v>42794</v>
      </c>
      <c r="E35" s="7">
        <v>0.62686140499999998</v>
      </c>
      <c r="F35" s="45">
        <v>1.3151652900383483E-2</v>
      </c>
      <c r="G35" s="7">
        <v>1.6762329680000001</v>
      </c>
      <c r="H35" s="7">
        <v>1.3238516250000001</v>
      </c>
      <c r="I35" s="7">
        <v>1.289474</v>
      </c>
      <c r="J35" s="7">
        <v>1.1688510000000001</v>
      </c>
      <c r="K35" s="8" t="s">
        <v>19</v>
      </c>
      <c r="L35" s="8" t="s">
        <v>187</v>
      </c>
      <c r="M35" s="7">
        <v>0</v>
      </c>
      <c r="N35" s="7">
        <v>1.3080000000000001</v>
      </c>
      <c r="O35" s="47">
        <v>1.3080000000000001</v>
      </c>
      <c r="P35" s="8" t="s">
        <v>42</v>
      </c>
      <c r="Q35" s="8" t="s">
        <v>43</v>
      </c>
      <c r="R35" s="8" t="s">
        <v>22</v>
      </c>
      <c r="S35" s="8" t="s">
        <v>341</v>
      </c>
    </row>
    <row r="36" spans="1:19" x14ac:dyDescent="0.25">
      <c r="A36" s="3" t="s">
        <v>84</v>
      </c>
      <c r="B36" s="4">
        <v>40.582999999999998</v>
      </c>
      <c r="C36" s="5">
        <v>57404</v>
      </c>
      <c r="D36" s="6">
        <v>42794</v>
      </c>
      <c r="E36" s="7">
        <v>0.58925921599999997</v>
      </c>
      <c r="F36" s="45">
        <v>1.3032174876408642E-2</v>
      </c>
      <c r="G36" s="7">
        <v>1.717567165</v>
      </c>
      <c r="H36" s="7">
        <v>1.311746377</v>
      </c>
      <c r="I36" s="7">
        <v>1.2834719999999999</v>
      </c>
      <c r="J36" s="7">
        <v>1.179135</v>
      </c>
      <c r="K36" s="8" t="s">
        <v>19</v>
      </c>
      <c r="L36" s="8" t="s">
        <v>187</v>
      </c>
      <c r="M36" s="7">
        <v>0</v>
      </c>
      <c r="N36" s="7">
        <v>1.302</v>
      </c>
      <c r="O36" s="47">
        <v>1.302</v>
      </c>
      <c r="P36" s="8" t="s">
        <v>42</v>
      </c>
      <c r="Q36" s="8" t="s">
        <v>43</v>
      </c>
      <c r="R36" s="8" t="s">
        <v>22</v>
      </c>
      <c r="S36" s="8" t="s">
        <v>341</v>
      </c>
    </row>
    <row r="37" spans="1:19" x14ac:dyDescent="0.25">
      <c r="A37" s="3" t="s">
        <v>94</v>
      </c>
      <c r="B37" s="4">
        <v>50.728000000000002</v>
      </c>
      <c r="C37" s="5">
        <v>61056</v>
      </c>
      <c r="D37" s="6">
        <v>42794</v>
      </c>
      <c r="E37" s="7">
        <v>0.53531781099999998</v>
      </c>
      <c r="F37" s="45">
        <v>1.2318589470698497E-2</v>
      </c>
      <c r="G37" s="7">
        <v>1.7111910319999999</v>
      </c>
      <c r="H37" s="7">
        <v>1.2394775810000001</v>
      </c>
      <c r="I37" s="7">
        <v>1.2332080000000001</v>
      </c>
      <c r="J37" s="7">
        <v>1.143697</v>
      </c>
      <c r="K37" s="8" t="s">
        <v>19</v>
      </c>
      <c r="L37" s="8" t="s">
        <v>187</v>
      </c>
      <c r="M37" s="7">
        <v>0</v>
      </c>
      <c r="N37" s="7">
        <v>1.2509999999999999</v>
      </c>
      <c r="O37" s="47">
        <v>1.2509999999999999</v>
      </c>
      <c r="P37" s="8" t="s">
        <v>42</v>
      </c>
      <c r="Q37" s="8" t="s">
        <v>43</v>
      </c>
      <c r="R37" s="8" t="s">
        <v>22</v>
      </c>
      <c r="S37" s="8" t="s">
        <v>341</v>
      </c>
    </row>
    <row r="38" spans="1:19" x14ac:dyDescent="0.25">
      <c r="A38" s="3" t="s">
        <v>104</v>
      </c>
      <c r="B38" s="4">
        <v>60.869</v>
      </c>
      <c r="C38" s="5">
        <v>64707</v>
      </c>
      <c r="D38" s="6">
        <v>42794</v>
      </c>
      <c r="E38" s="7">
        <v>0.48648933500000002</v>
      </c>
      <c r="F38" s="45">
        <v>1.1837471264339554E-2</v>
      </c>
      <c r="G38" s="7">
        <v>1.7341106550000001</v>
      </c>
      <c r="H38" s="7">
        <v>1.1907811420000001</v>
      </c>
      <c r="I38" s="7">
        <v>1.198672</v>
      </c>
      <c r="J38" s="7">
        <v>1.1185099999999999</v>
      </c>
      <c r="K38" s="8" t="s">
        <v>19</v>
      </c>
      <c r="L38" s="8" t="s">
        <v>187</v>
      </c>
      <c r="M38" s="7">
        <v>0</v>
      </c>
      <c r="N38" s="7">
        <v>1.216</v>
      </c>
      <c r="O38" s="47">
        <v>1.216</v>
      </c>
      <c r="P38" s="8" t="s">
        <v>42</v>
      </c>
      <c r="Q38" s="8" t="s">
        <v>43</v>
      </c>
      <c r="R38" s="8" t="s">
        <v>22</v>
      </c>
      <c r="S38" s="8" t="s">
        <v>341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"/>
  <sheetViews>
    <sheetView showGridLines="0" workbookViewId="0">
      <selection activeCell="A11" sqref="A11"/>
    </sheetView>
  </sheetViews>
  <sheetFormatPr defaultRowHeight="15" x14ac:dyDescent="0.25"/>
  <cols>
    <col min="1" max="1" width="19.7109375" bestFit="1" customWidth="1"/>
    <col min="2" max="2" width="7" bestFit="1" customWidth="1"/>
    <col min="3" max="4" width="10.7109375" bestFit="1" customWidth="1"/>
    <col min="5" max="5" width="14.7109375" bestFit="1" customWidth="1"/>
    <col min="6" max="6" width="13.7109375" bestFit="1" customWidth="1"/>
    <col min="7" max="7" width="17.42578125" bestFit="1" customWidth="1"/>
    <col min="8" max="8" width="14.140625" bestFit="1" customWidth="1"/>
    <col min="9" max="9" width="17.85546875" bestFit="1" customWidth="1"/>
    <col min="10" max="10" width="11.5703125" bestFit="1" customWidth="1"/>
    <col min="11" max="11" width="10" bestFit="1" customWidth="1"/>
    <col min="12" max="12" width="8.140625" bestFit="1" customWidth="1"/>
    <col min="13" max="13" width="23" bestFit="1" customWidth="1"/>
    <col min="14" max="14" width="20.140625" bestFit="1" customWidth="1"/>
  </cols>
  <sheetData>
    <row r="1" spans="1:2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481</v>
      </c>
      <c r="L1" s="11" t="s">
        <v>11</v>
      </c>
      <c r="M1" s="11" t="s">
        <v>482</v>
      </c>
      <c r="N1" s="11" t="s">
        <v>483</v>
      </c>
      <c r="O1" t="s">
        <v>14</v>
      </c>
      <c r="P1" t="s">
        <v>15</v>
      </c>
      <c r="Q1" t="s">
        <v>16</v>
      </c>
      <c r="R1" t="s">
        <v>17</v>
      </c>
      <c r="S1" t="s">
        <v>484</v>
      </c>
      <c r="T1" t="s">
        <v>485</v>
      </c>
      <c r="U1" t="s">
        <v>486</v>
      </c>
      <c r="V1" t="s">
        <v>487</v>
      </c>
      <c r="W1" t="s">
        <v>488</v>
      </c>
      <c r="X1" t="s">
        <v>489</v>
      </c>
      <c r="Y1" t="s">
        <v>490</v>
      </c>
    </row>
    <row r="2" spans="1:25" x14ac:dyDescent="0.25">
      <c r="A2" s="11" t="s">
        <v>498</v>
      </c>
      <c r="B2" s="11">
        <v>0.622</v>
      </c>
      <c r="C2" s="18">
        <v>43021</v>
      </c>
      <c r="D2" s="18">
        <v>42794</v>
      </c>
      <c r="E2" s="11">
        <v>1.00196204</v>
      </c>
      <c r="F2" s="11">
        <v>-0.314864423</v>
      </c>
      <c r="G2" s="11">
        <v>-0.31467696000000001</v>
      </c>
      <c r="H2" s="11">
        <v>-0.31486500000000001</v>
      </c>
      <c r="I2" s="11">
        <v>-0.31467699999999998</v>
      </c>
      <c r="J2" s="11" t="s">
        <v>19</v>
      </c>
      <c r="K2" s="11"/>
      <c r="L2" s="11">
        <v>0</v>
      </c>
      <c r="M2" s="11">
        <v>100.1935</v>
      </c>
      <c r="N2" s="27">
        <v>100.1935</v>
      </c>
      <c r="O2" t="s">
        <v>494</v>
      </c>
      <c r="P2" t="s">
        <v>495</v>
      </c>
      <c r="Q2" t="s">
        <v>496</v>
      </c>
      <c r="R2" t="s">
        <v>23</v>
      </c>
      <c r="S2">
        <v>-0.15</v>
      </c>
      <c r="T2">
        <v>1</v>
      </c>
      <c r="U2">
        <v>0</v>
      </c>
      <c r="V2" t="s">
        <v>497</v>
      </c>
      <c r="W2">
        <v>100.15</v>
      </c>
    </row>
    <row r="3" spans="1:25" x14ac:dyDescent="0.25">
      <c r="A3" s="11" t="s">
        <v>506</v>
      </c>
      <c r="B3" s="11">
        <v>2.0030000000000001</v>
      </c>
      <c r="C3" s="18">
        <v>43525</v>
      </c>
      <c r="D3" s="18">
        <v>42794</v>
      </c>
      <c r="E3" s="11">
        <v>0.99717289399999998</v>
      </c>
      <c r="F3" s="11">
        <v>0.14156213200000001</v>
      </c>
      <c r="G3" s="11">
        <v>0.141461801</v>
      </c>
      <c r="H3" s="11">
        <v>0.14111499999999999</v>
      </c>
      <c r="I3" s="11">
        <v>0.14116500000000001</v>
      </c>
      <c r="J3" s="11" t="s">
        <v>187</v>
      </c>
      <c r="K3" s="11"/>
      <c r="L3" s="11">
        <v>0</v>
      </c>
      <c r="M3" s="11">
        <v>108.705</v>
      </c>
      <c r="N3" s="27">
        <v>108.705</v>
      </c>
      <c r="O3" t="s">
        <v>502</v>
      </c>
      <c r="P3" t="s">
        <v>503</v>
      </c>
      <c r="Q3" t="s">
        <v>496</v>
      </c>
      <c r="R3" t="s">
        <v>504</v>
      </c>
      <c r="S3">
        <v>4.5</v>
      </c>
      <c r="T3">
        <v>1</v>
      </c>
      <c r="U3">
        <v>0</v>
      </c>
      <c r="V3" t="s">
        <v>497</v>
      </c>
      <c r="W3">
        <v>100</v>
      </c>
    </row>
    <row r="4" spans="1:25" x14ac:dyDescent="0.25">
      <c r="A4" s="11" t="s">
        <v>509</v>
      </c>
      <c r="B4" s="11">
        <v>3.677</v>
      </c>
      <c r="C4" s="18">
        <v>44136</v>
      </c>
      <c r="D4" s="18">
        <v>42794</v>
      </c>
      <c r="E4" s="11">
        <v>0.97991334799999996</v>
      </c>
      <c r="F4" s="11">
        <v>0.55751972599999999</v>
      </c>
      <c r="G4" s="11">
        <v>0.55340817899999994</v>
      </c>
      <c r="H4" s="11">
        <v>0.55121399999999998</v>
      </c>
      <c r="I4" s="11">
        <v>0.55159000000000002</v>
      </c>
      <c r="J4" s="11" t="s">
        <v>187</v>
      </c>
      <c r="K4" s="11"/>
      <c r="L4" s="11">
        <v>0</v>
      </c>
      <c r="M4" s="11">
        <v>100.355</v>
      </c>
      <c r="N4" s="27">
        <v>100.355</v>
      </c>
      <c r="O4" t="s">
        <v>502</v>
      </c>
      <c r="P4" t="s">
        <v>503</v>
      </c>
      <c r="Q4" t="s">
        <v>496</v>
      </c>
      <c r="R4" t="s">
        <v>504</v>
      </c>
      <c r="S4">
        <v>0.65</v>
      </c>
      <c r="T4">
        <v>1</v>
      </c>
      <c r="U4">
        <v>0</v>
      </c>
      <c r="V4" t="s">
        <v>497</v>
      </c>
      <c r="W4">
        <v>100</v>
      </c>
    </row>
    <row r="5" spans="1:25" x14ac:dyDescent="0.25">
      <c r="A5" s="11" t="s">
        <v>511</v>
      </c>
      <c r="B5" s="11">
        <v>4.7969999999999997</v>
      </c>
      <c r="C5" s="18">
        <v>44545</v>
      </c>
      <c r="D5" s="18">
        <v>42794</v>
      </c>
      <c r="E5" s="11">
        <v>0.95115499100000001</v>
      </c>
      <c r="F5" s="11">
        <v>1.0704727709999999</v>
      </c>
      <c r="G5" s="11">
        <v>1.0493603410000001</v>
      </c>
      <c r="H5" s="11">
        <v>1.032875</v>
      </c>
      <c r="I5" s="11">
        <v>1.035617</v>
      </c>
      <c r="J5" s="11" t="s">
        <v>187</v>
      </c>
      <c r="K5" s="11"/>
      <c r="L5" s="11">
        <v>0</v>
      </c>
      <c r="M5" s="11">
        <v>105.26</v>
      </c>
      <c r="N5" s="27">
        <v>105.26</v>
      </c>
      <c r="O5" t="s">
        <v>502</v>
      </c>
      <c r="P5" t="s">
        <v>503</v>
      </c>
      <c r="Q5" t="s">
        <v>496</v>
      </c>
      <c r="R5" t="s">
        <v>504</v>
      </c>
      <c r="S5">
        <v>2.15</v>
      </c>
      <c r="T5">
        <v>1</v>
      </c>
      <c r="U5">
        <v>0</v>
      </c>
      <c r="V5" t="s">
        <v>497</v>
      </c>
      <c r="W5">
        <v>100</v>
      </c>
    </row>
    <row r="6" spans="1:25" x14ac:dyDescent="0.25">
      <c r="A6" s="11" t="s">
        <v>513</v>
      </c>
      <c r="B6" s="11">
        <v>5.1289999999999996</v>
      </c>
      <c r="C6" s="18">
        <v>44666</v>
      </c>
      <c r="D6" s="18">
        <v>42794</v>
      </c>
      <c r="E6" s="11">
        <v>0.94237887300000001</v>
      </c>
      <c r="F6" s="11">
        <v>1.1921838199999999</v>
      </c>
      <c r="G6" s="11">
        <v>1.1638778890000001</v>
      </c>
      <c r="H6" s="11">
        <v>1.1461220000000001</v>
      </c>
      <c r="I6" s="11">
        <v>1.1470860000000001</v>
      </c>
      <c r="J6" s="11" t="s">
        <v>187</v>
      </c>
      <c r="K6" s="11"/>
      <c r="L6" s="11">
        <v>0</v>
      </c>
      <c r="M6" s="11">
        <v>101.01</v>
      </c>
      <c r="N6" s="27">
        <v>101.01</v>
      </c>
      <c r="O6" t="s">
        <v>502</v>
      </c>
      <c r="P6" t="s">
        <v>503</v>
      </c>
      <c r="Q6" t="s">
        <v>496</v>
      </c>
      <c r="R6" t="s">
        <v>504</v>
      </c>
      <c r="S6">
        <v>1.35</v>
      </c>
      <c r="T6">
        <v>1</v>
      </c>
      <c r="U6">
        <v>0</v>
      </c>
      <c r="V6" t="s">
        <v>497</v>
      </c>
      <c r="W6">
        <v>100</v>
      </c>
    </row>
    <row r="7" spans="1:25" x14ac:dyDescent="0.25">
      <c r="A7" s="11" t="s">
        <v>514</v>
      </c>
      <c r="B7" s="11">
        <v>5.548</v>
      </c>
      <c r="C7" s="18">
        <v>44819</v>
      </c>
      <c r="D7" s="18">
        <v>42794</v>
      </c>
      <c r="E7" s="11">
        <v>0.932209493</v>
      </c>
      <c r="F7" s="11">
        <v>1.310760046</v>
      </c>
      <c r="G7" s="11">
        <v>1.2733307679999999</v>
      </c>
      <c r="H7" s="11">
        <v>1.2483230000000001</v>
      </c>
      <c r="I7" s="11">
        <v>1.2522549999999999</v>
      </c>
      <c r="J7" s="11" t="s">
        <v>187</v>
      </c>
      <c r="K7" s="11"/>
      <c r="L7" s="11">
        <v>0</v>
      </c>
      <c r="M7" s="11">
        <v>101.075</v>
      </c>
      <c r="N7" s="27">
        <v>101.075</v>
      </c>
      <c r="O7" t="s">
        <v>502</v>
      </c>
      <c r="P7" t="s">
        <v>503</v>
      </c>
      <c r="Q7" t="s">
        <v>496</v>
      </c>
      <c r="R7" t="s">
        <v>504</v>
      </c>
      <c r="S7">
        <v>1.45</v>
      </c>
      <c r="T7">
        <v>1</v>
      </c>
      <c r="U7">
        <v>0</v>
      </c>
      <c r="V7" t="s">
        <v>497</v>
      </c>
      <c r="W7">
        <v>100</v>
      </c>
    </row>
    <row r="8" spans="1:25" x14ac:dyDescent="0.25">
      <c r="A8" s="11" t="s">
        <v>516</v>
      </c>
      <c r="B8" s="11">
        <v>6.173</v>
      </c>
      <c r="C8" s="18">
        <v>45047</v>
      </c>
      <c r="D8" s="18">
        <v>42794</v>
      </c>
      <c r="E8" s="11">
        <v>0.90559470200000003</v>
      </c>
      <c r="F8" s="11">
        <v>1.6888620160000001</v>
      </c>
      <c r="G8" s="11">
        <v>1.6194827949999999</v>
      </c>
      <c r="H8" s="11">
        <v>1.5739460000000001</v>
      </c>
      <c r="I8" s="11">
        <v>1.5795939999999999</v>
      </c>
      <c r="J8" s="11" t="s">
        <v>187</v>
      </c>
      <c r="K8" s="11"/>
      <c r="L8" s="11">
        <v>0</v>
      </c>
      <c r="M8" s="11">
        <v>117.51</v>
      </c>
      <c r="N8" s="27">
        <v>117.51</v>
      </c>
      <c r="O8" t="s">
        <v>502</v>
      </c>
      <c r="P8" t="s">
        <v>503</v>
      </c>
      <c r="Q8" t="s">
        <v>496</v>
      </c>
      <c r="R8" t="s">
        <v>504</v>
      </c>
      <c r="S8">
        <v>4.5</v>
      </c>
      <c r="T8">
        <v>1</v>
      </c>
      <c r="U8">
        <v>0</v>
      </c>
      <c r="V8" t="s">
        <v>497</v>
      </c>
      <c r="W8">
        <v>100</v>
      </c>
    </row>
    <row r="9" spans="1:25" x14ac:dyDescent="0.25">
      <c r="A9" s="11" t="s">
        <v>517</v>
      </c>
      <c r="B9" s="11">
        <v>6.4249999999999998</v>
      </c>
      <c r="C9" s="18">
        <v>45139</v>
      </c>
      <c r="D9" s="18">
        <v>42794</v>
      </c>
      <c r="E9" s="11">
        <v>0.90105566599999998</v>
      </c>
      <c r="F9" s="11">
        <v>1.7091859979999999</v>
      </c>
      <c r="G9" s="11">
        <v>1.634914121</v>
      </c>
      <c r="H9" s="11">
        <v>1.5894630000000001</v>
      </c>
      <c r="I9" s="11">
        <v>1.5958589999999999</v>
      </c>
      <c r="J9" s="11" t="s">
        <v>187</v>
      </c>
      <c r="K9" s="11"/>
      <c r="L9" s="11">
        <v>0</v>
      </c>
      <c r="M9" s="11">
        <v>119.645</v>
      </c>
      <c r="N9" s="27">
        <v>119.645</v>
      </c>
      <c r="O9" t="s">
        <v>502</v>
      </c>
      <c r="P9" t="s">
        <v>503</v>
      </c>
      <c r="Q9" t="s">
        <v>496</v>
      </c>
      <c r="R9" t="s">
        <v>504</v>
      </c>
      <c r="S9">
        <v>4.75</v>
      </c>
      <c r="T9">
        <v>1</v>
      </c>
      <c r="U9">
        <v>0</v>
      </c>
      <c r="V9" t="s">
        <v>497</v>
      </c>
      <c r="W9">
        <v>100</v>
      </c>
    </row>
    <row r="10" spans="1:25" x14ac:dyDescent="0.25">
      <c r="A10" s="11" t="s">
        <v>632</v>
      </c>
      <c r="B10" s="11">
        <v>7.008</v>
      </c>
      <c r="C10" s="18">
        <v>45352</v>
      </c>
      <c r="D10" s="18">
        <v>42794</v>
      </c>
      <c r="E10" s="11">
        <v>0.87680894200000004</v>
      </c>
      <c r="F10" s="11">
        <v>2.0047791620000002</v>
      </c>
      <c r="G10" s="11">
        <v>1.8935907270000001</v>
      </c>
      <c r="H10" s="11">
        <v>1.8285750000000001</v>
      </c>
      <c r="I10" s="11">
        <v>1.836956</v>
      </c>
      <c r="J10" s="11" t="s">
        <v>187</v>
      </c>
      <c r="K10" s="11"/>
      <c r="L10" s="11">
        <v>0</v>
      </c>
      <c r="M10" s="11">
        <v>117.94499999999999</v>
      </c>
      <c r="N10" s="27">
        <v>117.94499999999999</v>
      </c>
      <c r="O10" t="s">
        <v>502</v>
      </c>
      <c r="P10" t="s">
        <v>503</v>
      </c>
      <c r="Q10" t="s">
        <v>496</v>
      </c>
      <c r="R10" t="s">
        <v>504</v>
      </c>
      <c r="S10">
        <v>4.5</v>
      </c>
      <c r="T10">
        <v>1</v>
      </c>
      <c r="U10">
        <v>0</v>
      </c>
      <c r="V10" t="s">
        <v>497</v>
      </c>
      <c r="W10">
        <v>100</v>
      </c>
    </row>
    <row r="11" spans="1:25" x14ac:dyDescent="0.25">
      <c r="A11" s="11" t="s">
        <v>520</v>
      </c>
      <c r="B11" s="11">
        <v>7.5119999999999996</v>
      </c>
      <c r="C11" s="18">
        <v>45536</v>
      </c>
      <c r="D11" s="18">
        <v>42794</v>
      </c>
      <c r="E11" s="11">
        <v>0.86265603800000001</v>
      </c>
      <c r="F11" s="11">
        <v>2.119323826</v>
      </c>
      <c r="G11" s="11">
        <v>1.986089075</v>
      </c>
      <c r="H11" s="11">
        <v>1.9156249999999999</v>
      </c>
      <c r="I11" s="11">
        <v>1.9241680000000001</v>
      </c>
      <c r="J11" s="11" t="s">
        <v>187</v>
      </c>
      <c r="K11" s="11"/>
      <c r="L11" s="11">
        <v>0</v>
      </c>
      <c r="M11" s="11">
        <v>113.095</v>
      </c>
      <c r="N11" s="27">
        <v>113.095</v>
      </c>
      <c r="O11" t="s">
        <v>502</v>
      </c>
      <c r="P11" t="s">
        <v>503</v>
      </c>
      <c r="Q11" t="s">
        <v>496</v>
      </c>
      <c r="R11" t="s">
        <v>504</v>
      </c>
      <c r="S11">
        <v>3.75</v>
      </c>
      <c r="T11">
        <v>1</v>
      </c>
      <c r="U11">
        <v>0</v>
      </c>
      <c r="V11" t="s">
        <v>497</v>
      </c>
      <c r="W11">
        <v>100</v>
      </c>
    </row>
    <row r="12" spans="1:25" x14ac:dyDescent="0.25">
      <c r="A12" s="11" t="s">
        <v>522</v>
      </c>
      <c r="B12" s="11">
        <v>8.0079999999999991</v>
      </c>
      <c r="C12" s="18">
        <v>45717</v>
      </c>
      <c r="D12" s="18">
        <v>42794</v>
      </c>
      <c r="E12" s="11">
        <v>0.84682259699999995</v>
      </c>
      <c r="F12" s="11">
        <v>2.2587403720000001</v>
      </c>
      <c r="G12" s="11">
        <v>2.0978699359999999</v>
      </c>
      <c r="H12" s="11">
        <v>2.017976</v>
      </c>
      <c r="I12" s="11">
        <v>2.0269020000000002</v>
      </c>
      <c r="J12" s="11" t="s">
        <v>187</v>
      </c>
      <c r="K12" s="11"/>
      <c r="L12" s="11">
        <v>0</v>
      </c>
      <c r="M12" s="11">
        <v>122.565</v>
      </c>
      <c r="N12" s="27">
        <v>122.565</v>
      </c>
      <c r="O12" t="s">
        <v>502</v>
      </c>
      <c r="P12" t="s">
        <v>503</v>
      </c>
      <c r="Q12" t="s">
        <v>496</v>
      </c>
      <c r="R12" t="s">
        <v>504</v>
      </c>
      <c r="S12">
        <v>5</v>
      </c>
      <c r="T12">
        <v>1</v>
      </c>
      <c r="U12">
        <v>0</v>
      </c>
      <c r="V12" t="s">
        <v>497</v>
      </c>
      <c r="W12">
        <v>100</v>
      </c>
    </row>
    <row r="13" spans="1:25" x14ac:dyDescent="0.25">
      <c r="A13" s="11" t="s">
        <v>523</v>
      </c>
      <c r="B13" s="11">
        <v>8.7620000000000005</v>
      </c>
      <c r="C13" s="18">
        <v>45992</v>
      </c>
      <c r="D13" s="18">
        <v>42794</v>
      </c>
      <c r="E13" s="11">
        <v>0.83090999700000001</v>
      </c>
      <c r="F13" s="11">
        <v>2.3226210190000001</v>
      </c>
      <c r="G13" s="11">
        <v>2.1366506890000001</v>
      </c>
      <c r="H13" s="11">
        <v>2.0569320000000002</v>
      </c>
      <c r="I13" s="11">
        <v>2.067682</v>
      </c>
      <c r="J13" s="11" t="s">
        <v>187</v>
      </c>
      <c r="K13" s="11"/>
      <c r="L13" s="11">
        <v>0</v>
      </c>
      <c r="M13" s="11">
        <v>99.504999999999995</v>
      </c>
      <c r="N13" s="27">
        <v>99.504999999999995</v>
      </c>
      <c r="O13" t="s">
        <v>502</v>
      </c>
      <c r="P13" t="s">
        <v>503</v>
      </c>
      <c r="Q13" t="s">
        <v>496</v>
      </c>
      <c r="R13" t="s">
        <v>504</v>
      </c>
      <c r="S13">
        <v>2</v>
      </c>
      <c r="T13">
        <v>1</v>
      </c>
      <c r="U13">
        <v>0</v>
      </c>
      <c r="V13" t="s">
        <v>497</v>
      </c>
      <c r="W13">
        <v>100</v>
      </c>
    </row>
    <row r="14" spans="1:25" x14ac:dyDescent="0.25">
      <c r="A14" s="11" t="s">
        <v>525</v>
      </c>
      <c r="B14" s="11">
        <v>9.0079999999999991</v>
      </c>
      <c r="C14" s="18">
        <v>46082</v>
      </c>
      <c r="D14" s="18">
        <v>42794</v>
      </c>
      <c r="E14" s="11">
        <v>0.81396514799999997</v>
      </c>
      <c r="F14" s="11">
        <v>2.5371699470000002</v>
      </c>
      <c r="G14" s="11">
        <v>2.3113052139999999</v>
      </c>
      <c r="H14" s="11">
        <v>2.2099090000000001</v>
      </c>
      <c r="I14" s="11">
        <v>2.2215569999999998</v>
      </c>
      <c r="J14" s="11" t="s">
        <v>187</v>
      </c>
      <c r="K14" s="11"/>
      <c r="L14" s="11">
        <v>0</v>
      </c>
      <c r="M14" s="11">
        <v>119.2</v>
      </c>
      <c r="N14" s="27">
        <v>119.2</v>
      </c>
      <c r="O14" t="s">
        <v>502</v>
      </c>
      <c r="P14" t="s">
        <v>503</v>
      </c>
      <c r="Q14" t="s">
        <v>496</v>
      </c>
      <c r="R14" t="s">
        <v>504</v>
      </c>
      <c r="S14">
        <v>4.5</v>
      </c>
      <c r="T14">
        <v>1</v>
      </c>
      <c r="U14">
        <v>0</v>
      </c>
      <c r="V14" t="s">
        <v>497</v>
      </c>
      <c r="W14">
        <v>100</v>
      </c>
    </row>
    <row r="15" spans="1:25" x14ac:dyDescent="0.25">
      <c r="A15" s="11" t="s">
        <v>526</v>
      </c>
      <c r="B15" s="11">
        <v>9.7620000000000005</v>
      </c>
      <c r="C15" s="18">
        <v>46357</v>
      </c>
      <c r="D15" s="18">
        <v>42794</v>
      </c>
      <c r="E15" s="11">
        <v>0.80774856299999997</v>
      </c>
      <c r="F15" s="11">
        <v>2.4382062590000002</v>
      </c>
      <c r="G15" s="11">
        <v>2.2112713080000002</v>
      </c>
      <c r="H15" s="11">
        <v>2.1298249999999999</v>
      </c>
      <c r="I15" s="11">
        <v>2.1413359999999999</v>
      </c>
      <c r="J15" s="11" t="s">
        <v>187</v>
      </c>
      <c r="K15" s="11"/>
      <c r="L15" s="11">
        <v>0</v>
      </c>
      <c r="M15" s="11">
        <v>92.045000000000002</v>
      </c>
      <c r="N15" s="27">
        <v>92.045000000000002</v>
      </c>
      <c r="O15" t="s">
        <v>502</v>
      </c>
      <c r="P15" t="s">
        <v>503</v>
      </c>
      <c r="Q15" t="s">
        <v>496</v>
      </c>
      <c r="R15" t="s">
        <v>504</v>
      </c>
      <c r="S15">
        <v>1.25</v>
      </c>
      <c r="T15">
        <v>1</v>
      </c>
      <c r="U15">
        <v>0</v>
      </c>
      <c r="V15" t="s">
        <v>497</v>
      </c>
      <c r="W15">
        <v>100</v>
      </c>
    </row>
    <row r="16" spans="1:25" x14ac:dyDescent="0.25">
      <c r="A16" s="11" t="s">
        <v>529</v>
      </c>
      <c r="B16" s="11">
        <v>11.515000000000001</v>
      </c>
      <c r="C16" s="18">
        <v>46997</v>
      </c>
      <c r="D16" s="18">
        <v>42794</v>
      </c>
      <c r="E16" s="11">
        <v>0.73475000099999999</v>
      </c>
      <c r="F16" s="11">
        <v>3.1350846360000002</v>
      </c>
      <c r="G16" s="11">
        <v>2.7128555080000001</v>
      </c>
      <c r="H16" s="11">
        <v>2.5607389999999999</v>
      </c>
      <c r="I16" s="11">
        <v>2.5771950000000001</v>
      </c>
      <c r="J16" s="11" t="s">
        <v>187</v>
      </c>
      <c r="K16" s="11"/>
      <c r="L16" s="11">
        <v>0</v>
      </c>
      <c r="M16" s="11">
        <v>122.595</v>
      </c>
      <c r="N16" s="27">
        <v>122.595</v>
      </c>
      <c r="O16" t="s">
        <v>502</v>
      </c>
      <c r="P16" t="s">
        <v>503</v>
      </c>
      <c r="Q16" t="s">
        <v>496</v>
      </c>
      <c r="R16" t="s">
        <v>504</v>
      </c>
      <c r="S16">
        <v>4.75</v>
      </c>
      <c r="T16">
        <v>1</v>
      </c>
      <c r="U16">
        <v>0</v>
      </c>
      <c r="V16" t="s">
        <v>497</v>
      </c>
      <c r="W16">
        <v>100</v>
      </c>
    </row>
    <row r="17" spans="1:23" x14ac:dyDescent="0.25">
      <c r="A17" s="11" t="s">
        <v>531</v>
      </c>
      <c r="B17" s="11">
        <v>13.010999999999999</v>
      </c>
      <c r="C17" s="18">
        <v>47543</v>
      </c>
      <c r="D17" s="18">
        <v>42794</v>
      </c>
      <c r="E17" s="11">
        <v>0.70562020000000003</v>
      </c>
      <c r="F17" s="11">
        <v>3.2064737989999998</v>
      </c>
      <c r="G17" s="11">
        <v>2.7161121960000001</v>
      </c>
      <c r="H17" s="11">
        <v>2.5758939999999999</v>
      </c>
      <c r="I17" s="11">
        <v>2.592543</v>
      </c>
      <c r="J17" s="11" t="s">
        <v>187</v>
      </c>
      <c r="K17" s="11"/>
      <c r="L17" s="11">
        <v>0</v>
      </c>
      <c r="M17" s="11">
        <v>110.51</v>
      </c>
      <c r="N17" s="27">
        <v>110.51</v>
      </c>
      <c r="O17" t="s">
        <v>502</v>
      </c>
      <c r="P17" t="s">
        <v>503</v>
      </c>
      <c r="Q17" t="s">
        <v>496</v>
      </c>
      <c r="R17" t="s">
        <v>504</v>
      </c>
      <c r="S17">
        <v>3.5</v>
      </c>
      <c r="T17">
        <v>1</v>
      </c>
      <c r="U17">
        <v>0</v>
      </c>
      <c r="V17" t="s">
        <v>497</v>
      </c>
      <c r="W17">
        <v>100</v>
      </c>
    </row>
    <row r="18" spans="1:23" x14ac:dyDescent="0.25">
      <c r="A18" s="11" t="s">
        <v>533</v>
      </c>
      <c r="B18" s="11">
        <v>15.013999999999999</v>
      </c>
      <c r="C18" s="18">
        <v>48274</v>
      </c>
      <c r="D18" s="18">
        <v>42794</v>
      </c>
      <c r="E18" s="11">
        <v>0.68350745099999999</v>
      </c>
      <c r="F18" s="11">
        <v>3.0841290610000001</v>
      </c>
      <c r="G18" s="11">
        <v>2.5668609930000001</v>
      </c>
      <c r="H18" s="11">
        <v>2.469954</v>
      </c>
      <c r="I18" s="11">
        <v>2.4852759999999998</v>
      </c>
      <c r="J18" s="11" t="s">
        <v>187</v>
      </c>
      <c r="K18" s="11"/>
      <c r="L18" s="11">
        <v>0</v>
      </c>
      <c r="M18" s="11">
        <v>89.465000000000003</v>
      </c>
      <c r="N18" s="27">
        <v>89.465000000000003</v>
      </c>
      <c r="O18" t="s">
        <v>502</v>
      </c>
      <c r="P18" t="s">
        <v>503</v>
      </c>
      <c r="Q18" t="s">
        <v>496</v>
      </c>
      <c r="R18" t="s">
        <v>504</v>
      </c>
      <c r="S18">
        <v>1.65</v>
      </c>
      <c r="T18">
        <v>1</v>
      </c>
      <c r="U18">
        <v>0</v>
      </c>
      <c r="V18" t="s">
        <v>497</v>
      </c>
      <c r="W18">
        <v>100</v>
      </c>
    </row>
    <row r="19" spans="1:23" x14ac:dyDescent="0.25">
      <c r="A19" s="11" t="s">
        <v>534</v>
      </c>
      <c r="B19" s="11">
        <v>17.433</v>
      </c>
      <c r="C19" s="18">
        <v>49157</v>
      </c>
      <c r="D19" s="18">
        <v>42794</v>
      </c>
      <c r="E19" s="11">
        <v>0.58249503899999999</v>
      </c>
      <c r="F19" s="11">
        <v>4.1115005299999998</v>
      </c>
      <c r="G19" s="11">
        <v>3.1486416990000001</v>
      </c>
      <c r="H19" s="11">
        <v>2.9161069999999998</v>
      </c>
      <c r="I19" s="11">
        <v>2.937513</v>
      </c>
      <c r="J19" s="11" t="s">
        <v>187</v>
      </c>
      <c r="K19" s="11"/>
      <c r="L19" s="11">
        <v>0</v>
      </c>
      <c r="M19" s="11">
        <v>129.77500000000001</v>
      </c>
      <c r="N19" s="27">
        <v>129.77500000000001</v>
      </c>
      <c r="O19" t="s">
        <v>502</v>
      </c>
      <c r="P19" t="s">
        <v>503</v>
      </c>
      <c r="Q19" t="s">
        <v>496</v>
      </c>
      <c r="R19" t="s">
        <v>504</v>
      </c>
      <c r="S19">
        <v>5</v>
      </c>
      <c r="T19">
        <v>1</v>
      </c>
      <c r="U19">
        <v>0</v>
      </c>
      <c r="V19" t="s">
        <v>497</v>
      </c>
      <c r="W19">
        <v>100</v>
      </c>
    </row>
    <row r="20" spans="1:23" x14ac:dyDescent="0.25">
      <c r="A20" s="11" t="s">
        <v>535</v>
      </c>
      <c r="B20" s="11">
        <v>19.521000000000001</v>
      </c>
      <c r="C20" s="18">
        <v>49919</v>
      </c>
      <c r="D20" s="18">
        <v>42794</v>
      </c>
      <c r="E20" s="11">
        <v>0.57197957499999996</v>
      </c>
      <c r="F20" s="11">
        <v>3.8334691159999998</v>
      </c>
      <c r="G20" s="11">
        <v>2.9032112309999998</v>
      </c>
      <c r="H20" s="11">
        <v>2.7579579999999999</v>
      </c>
      <c r="I20" s="11">
        <v>2.777047</v>
      </c>
      <c r="J20" s="11" t="s">
        <v>187</v>
      </c>
      <c r="K20" s="11"/>
      <c r="L20" s="11">
        <v>0</v>
      </c>
      <c r="M20" s="11">
        <v>92.07</v>
      </c>
      <c r="N20" s="27">
        <v>92.07</v>
      </c>
      <c r="O20" t="s">
        <v>502</v>
      </c>
      <c r="P20" t="s">
        <v>503</v>
      </c>
      <c r="Q20" t="s">
        <v>496</v>
      </c>
      <c r="R20" t="s">
        <v>504</v>
      </c>
      <c r="S20">
        <v>2.25</v>
      </c>
      <c r="T20">
        <v>1</v>
      </c>
      <c r="U20">
        <v>0</v>
      </c>
      <c r="V20" t="s">
        <v>497</v>
      </c>
      <c r="W20">
        <v>100</v>
      </c>
    </row>
    <row r="21" spans="1:23" x14ac:dyDescent="0.25">
      <c r="A21" s="11" t="s">
        <v>537</v>
      </c>
      <c r="B21" s="11">
        <v>23.523</v>
      </c>
      <c r="C21" s="18">
        <v>51380</v>
      </c>
      <c r="D21" s="18">
        <v>42794</v>
      </c>
      <c r="E21" s="11">
        <v>0.422204988</v>
      </c>
      <c r="F21" s="11">
        <v>5.8177145450000003</v>
      </c>
      <c r="G21" s="11">
        <v>3.7335881909999999</v>
      </c>
      <c r="H21" s="11">
        <v>3.3099690000000002</v>
      </c>
      <c r="I21" s="11">
        <v>3.3369439999999999</v>
      </c>
      <c r="J21" s="11" t="s">
        <v>187</v>
      </c>
      <c r="K21" s="11"/>
      <c r="L21" s="11">
        <v>0</v>
      </c>
      <c r="M21" s="11">
        <v>129.38</v>
      </c>
      <c r="N21" s="27">
        <v>129.38</v>
      </c>
      <c r="O21" t="s">
        <v>502</v>
      </c>
      <c r="P21" t="s">
        <v>503</v>
      </c>
      <c r="Q21" t="s">
        <v>496</v>
      </c>
      <c r="R21" t="s">
        <v>504</v>
      </c>
      <c r="S21">
        <v>5</v>
      </c>
      <c r="T21">
        <v>1</v>
      </c>
      <c r="U21">
        <v>0</v>
      </c>
      <c r="V21" t="s">
        <v>497</v>
      </c>
      <c r="W21">
        <v>100</v>
      </c>
    </row>
    <row r="22" spans="1:23" x14ac:dyDescent="0.25">
      <c r="A22" s="11" t="s">
        <v>539</v>
      </c>
      <c r="B22" s="11">
        <v>27.526</v>
      </c>
      <c r="C22" s="18">
        <v>52841</v>
      </c>
      <c r="D22" s="18">
        <v>42794</v>
      </c>
      <c r="E22" s="11">
        <v>0.35986929899999998</v>
      </c>
      <c r="F22" s="11">
        <v>6.4621988889999997</v>
      </c>
      <c r="G22" s="11">
        <v>3.7826910709999999</v>
      </c>
      <c r="H22" s="11">
        <v>3.3685909999999999</v>
      </c>
      <c r="I22" s="11">
        <v>3.3970699999999998</v>
      </c>
      <c r="J22" s="11" t="s">
        <v>187</v>
      </c>
      <c r="K22" s="11"/>
      <c r="L22" s="11">
        <v>0</v>
      </c>
      <c r="M22" s="11">
        <v>126.145</v>
      </c>
      <c r="N22" s="27">
        <v>126.145</v>
      </c>
      <c r="O22" t="s">
        <v>502</v>
      </c>
      <c r="P22" t="s">
        <v>503</v>
      </c>
      <c r="Q22" t="s">
        <v>496</v>
      </c>
      <c r="R22" t="s">
        <v>504</v>
      </c>
      <c r="S22">
        <v>4.75</v>
      </c>
      <c r="T22">
        <v>1</v>
      </c>
      <c r="U22">
        <v>0</v>
      </c>
      <c r="V22" t="s">
        <v>497</v>
      </c>
      <c r="W22">
        <v>100</v>
      </c>
    </row>
    <row r="23" spans="1:23" x14ac:dyDescent="0.25">
      <c r="A23" s="11" t="s">
        <v>540</v>
      </c>
      <c r="B23" s="11">
        <v>29.526</v>
      </c>
      <c r="C23" s="18">
        <v>53571</v>
      </c>
      <c r="D23" s="18">
        <v>42794</v>
      </c>
      <c r="E23" s="11">
        <v>0.36420364300000002</v>
      </c>
      <c r="F23" s="11">
        <v>5.9124670290000001</v>
      </c>
      <c r="G23" s="11">
        <v>3.4800375219999999</v>
      </c>
      <c r="H23" s="11">
        <v>3.2226050000000002</v>
      </c>
      <c r="I23" s="11">
        <v>3.2483</v>
      </c>
      <c r="J23" s="11" t="s">
        <v>187</v>
      </c>
      <c r="K23" s="11"/>
      <c r="L23" s="11">
        <v>0</v>
      </c>
      <c r="M23" s="11">
        <v>100.465</v>
      </c>
      <c r="N23" s="27">
        <v>100.465</v>
      </c>
      <c r="O23" t="s">
        <v>502</v>
      </c>
      <c r="P23" t="s">
        <v>503</v>
      </c>
      <c r="Q23" t="s">
        <v>496</v>
      </c>
      <c r="R23" t="s">
        <v>504</v>
      </c>
      <c r="S23">
        <v>3.25</v>
      </c>
      <c r="T23">
        <v>1</v>
      </c>
      <c r="U23">
        <v>0</v>
      </c>
      <c r="V23" t="s">
        <v>497</v>
      </c>
      <c r="W23">
        <v>100</v>
      </c>
    </row>
    <row r="24" spans="1:23" x14ac:dyDescent="0.25">
      <c r="A24" s="11" t="s">
        <v>542</v>
      </c>
      <c r="B24" s="11">
        <v>30.021999999999998</v>
      </c>
      <c r="C24" s="18">
        <v>53752</v>
      </c>
      <c r="D24" s="18">
        <v>42794</v>
      </c>
      <c r="E24" s="11">
        <v>0.36176470399999999</v>
      </c>
      <c r="F24" s="11">
        <v>5.8764655509999999</v>
      </c>
      <c r="G24" s="11">
        <v>3.444732546</v>
      </c>
      <c r="H24" s="11">
        <v>3.2059959999999998</v>
      </c>
      <c r="I24" s="11">
        <v>3.2317900000000002</v>
      </c>
      <c r="J24" s="11" t="s">
        <v>187</v>
      </c>
      <c r="K24" s="11"/>
      <c r="L24" s="11">
        <v>0</v>
      </c>
      <c r="M24" s="11">
        <v>89.87</v>
      </c>
      <c r="N24" s="27">
        <v>89.87</v>
      </c>
      <c r="O24" t="s">
        <v>502</v>
      </c>
      <c r="P24" t="s">
        <v>503</v>
      </c>
      <c r="Q24" t="s">
        <v>496</v>
      </c>
      <c r="R24" t="s">
        <v>504</v>
      </c>
      <c r="S24">
        <v>2.7</v>
      </c>
      <c r="T24">
        <v>1</v>
      </c>
      <c r="U24">
        <v>0</v>
      </c>
      <c r="V24" t="s">
        <v>497</v>
      </c>
      <c r="W24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>
      <selection activeCell="P2" sqref="P2"/>
    </sheetView>
  </sheetViews>
  <sheetFormatPr defaultRowHeight="15" x14ac:dyDescent="0.25"/>
  <cols>
    <col min="3" max="4" width="10.7109375" style="10" bestFit="1" customWidth="1"/>
    <col min="13" max="13" width="20.28515625" bestFit="1" customWidth="1"/>
    <col min="14" max="14" width="14.140625" style="9" bestFit="1" customWidth="1"/>
  </cols>
  <sheetData>
    <row r="1" spans="1:16" x14ac:dyDescent="0.25">
      <c r="A1" t="s">
        <v>0</v>
      </c>
      <c r="B1" t="s">
        <v>1</v>
      </c>
      <c r="C1" s="10" t="s">
        <v>2</v>
      </c>
      <c r="D1" s="10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26" t="s">
        <v>13</v>
      </c>
    </row>
    <row r="2" spans="1:16" x14ac:dyDescent="0.25">
      <c r="A2" t="s">
        <v>18</v>
      </c>
      <c r="B2">
        <v>8.0000000000000002E-3</v>
      </c>
      <c r="C2" s="10">
        <v>42793</v>
      </c>
      <c r="D2" s="10">
        <v>42790</v>
      </c>
      <c r="E2">
        <v>1.0000333340000001</v>
      </c>
      <c r="F2">
        <v>-0.4</v>
      </c>
      <c r="G2">
        <v>-0.399207706</v>
      </c>
      <c r="H2">
        <v>-0.4</v>
      </c>
      <c r="I2">
        <v>-0.39920800000000001</v>
      </c>
      <c r="J2" t="s">
        <v>19</v>
      </c>
      <c r="L2">
        <v>0</v>
      </c>
      <c r="M2">
        <v>-0.4</v>
      </c>
      <c r="N2" s="26">
        <v>-0.4</v>
      </c>
      <c r="P2" t="s">
        <v>296</v>
      </c>
    </row>
    <row r="3" spans="1:16" x14ac:dyDescent="0.25">
      <c r="A3" t="s">
        <v>24</v>
      </c>
      <c r="B3">
        <v>3.0000000000000001E-3</v>
      </c>
      <c r="C3" s="10">
        <v>42794</v>
      </c>
      <c r="D3" s="10">
        <v>42793</v>
      </c>
      <c r="E3">
        <v>1.0000111110000001</v>
      </c>
      <c r="F3">
        <v>-0.4</v>
      </c>
      <c r="G3">
        <v>-0.39920327900000002</v>
      </c>
      <c r="H3">
        <v>-0.4</v>
      </c>
      <c r="I3">
        <v>-0.399204</v>
      </c>
      <c r="J3" t="s">
        <v>19</v>
      </c>
      <c r="L3">
        <v>0</v>
      </c>
      <c r="M3">
        <v>-0.4</v>
      </c>
      <c r="N3" s="26">
        <v>-0.4</v>
      </c>
    </row>
    <row r="4" spans="1:16" x14ac:dyDescent="0.25">
      <c r="A4" t="s">
        <v>25</v>
      </c>
      <c r="B4">
        <v>3.0000000000000001E-3</v>
      </c>
      <c r="C4" s="10">
        <v>42795</v>
      </c>
      <c r="D4" s="10">
        <v>42794</v>
      </c>
      <c r="E4">
        <v>1.0000116670000001</v>
      </c>
      <c r="F4">
        <v>-0.42</v>
      </c>
      <c r="G4">
        <v>-0.41912167299999997</v>
      </c>
      <c r="H4">
        <v>-0.42</v>
      </c>
      <c r="I4">
        <v>-0.41912199999999999</v>
      </c>
      <c r="J4" t="s">
        <v>19</v>
      </c>
      <c r="L4">
        <v>0</v>
      </c>
      <c r="M4">
        <v>-0.42</v>
      </c>
      <c r="N4" s="26">
        <v>-0.42</v>
      </c>
    </row>
    <row r="5" spans="1:16" x14ac:dyDescent="0.25">
      <c r="A5" t="s">
        <v>26</v>
      </c>
      <c r="B5">
        <v>1.9E-2</v>
      </c>
      <c r="C5" s="10">
        <v>42801</v>
      </c>
      <c r="D5" s="10">
        <v>42794</v>
      </c>
      <c r="E5">
        <v>1.000068449</v>
      </c>
      <c r="F5">
        <v>-0.35199999999999998</v>
      </c>
      <c r="G5">
        <v>-0.35139321099999998</v>
      </c>
      <c r="H5">
        <v>-0.35199999999999998</v>
      </c>
      <c r="I5">
        <v>-0.35139300000000001</v>
      </c>
      <c r="J5" t="s">
        <v>19</v>
      </c>
      <c r="L5">
        <v>0</v>
      </c>
      <c r="M5">
        <v>-0.35199999999999998</v>
      </c>
      <c r="N5" s="26">
        <v>-0.35199999999999998</v>
      </c>
    </row>
    <row r="6" spans="1:16" x14ac:dyDescent="0.25">
      <c r="A6" t="s">
        <v>27</v>
      </c>
      <c r="B6">
        <v>3.9E-2</v>
      </c>
      <c r="C6" s="10">
        <v>42808</v>
      </c>
      <c r="D6" s="10">
        <v>42794</v>
      </c>
      <c r="E6">
        <v>1.000137297</v>
      </c>
      <c r="F6">
        <v>-0.35299999999999998</v>
      </c>
      <c r="G6">
        <v>-0.35240183400000002</v>
      </c>
      <c r="H6">
        <v>-0.35299999999999998</v>
      </c>
      <c r="I6">
        <v>-0.35240199999999999</v>
      </c>
      <c r="J6" t="s">
        <v>19</v>
      </c>
      <c r="L6">
        <v>0</v>
      </c>
      <c r="M6">
        <v>-0.35299999999999998</v>
      </c>
      <c r="N6" s="26">
        <v>-0.35299999999999998</v>
      </c>
    </row>
    <row r="7" spans="1:16" x14ac:dyDescent="0.25">
      <c r="A7" t="s">
        <v>28</v>
      </c>
      <c r="B7">
        <v>5.8000000000000003E-2</v>
      </c>
      <c r="C7" s="10">
        <v>42815</v>
      </c>
      <c r="D7" s="10">
        <v>42794</v>
      </c>
      <c r="E7">
        <v>1.000206543</v>
      </c>
      <c r="F7">
        <v>-0.35399999999999998</v>
      </c>
      <c r="G7">
        <v>-0.35341058600000003</v>
      </c>
      <c r="H7">
        <v>-0.35399999999999998</v>
      </c>
      <c r="I7">
        <v>-0.35341099999999998</v>
      </c>
      <c r="J7" t="s">
        <v>19</v>
      </c>
      <c r="L7">
        <v>0</v>
      </c>
      <c r="M7">
        <v>-0.35399999999999998</v>
      </c>
      <c r="N7" s="26">
        <v>-0.35399999999999998</v>
      </c>
    </row>
    <row r="8" spans="1:16" x14ac:dyDescent="0.25">
      <c r="A8" t="s">
        <v>29</v>
      </c>
      <c r="B8">
        <v>8.5999999999999993E-2</v>
      </c>
      <c r="C8" s="10">
        <v>42825</v>
      </c>
      <c r="D8" s="10">
        <v>42794</v>
      </c>
      <c r="E8">
        <v>1.0003049260000001</v>
      </c>
      <c r="F8">
        <v>-0.35399999999999998</v>
      </c>
      <c r="G8">
        <v>-0.353427934</v>
      </c>
      <c r="H8">
        <v>-0.35399999999999998</v>
      </c>
      <c r="I8">
        <v>-0.35342800000000002</v>
      </c>
      <c r="J8" t="s">
        <v>19</v>
      </c>
      <c r="L8">
        <v>0</v>
      </c>
      <c r="M8">
        <v>-0.35399999999999998</v>
      </c>
      <c r="N8" s="26">
        <v>-0.35399999999999998</v>
      </c>
    </row>
    <row r="9" spans="1:16" x14ac:dyDescent="0.25">
      <c r="A9" t="s">
        <v>30</v>
      </c>
      <c r="B9">
        <v>0.16400000000000001</v>
      </c>
      <c r="C9" s="10">
        <v>42853</v>
      </c>
      <c r="D9" s="10">
        <v>42794</v>
      </c>
      <c r="E9">
        <v>1.0005788630000001</v>
      </c>
      <c r="F9">
        <v>-0.35299999999999998</v>
      </c>
      <c r="G9">
        <v>-0.35247947699999999</v>
      </c>
      <c r="H9">
        <v>-0.35299999999999998</v>
      </c>
      <c r="I9">
        <v>-0.35248000000000002</v>
      </c>
      <c r="J9" t="s">
        <v>19</v>
      </c>
      <c r="L9">
        <v>0</v>
      </c>
      <c r="M9">
        <v>-0.35299999999999998</v>
      </c>
      <c r="N9" s="26">
        <v>-0.35299999999999998</v>
      </c>
    </row>
    <row r="10" spans="1:16" x14ac:dyDescent="0.25">
      <c r="A10" t="s">
        <v>31</v>
      </c>
      <c r="B10">
        <v>0.25600000000000001</v>
      </c>
      <c r="C10" s="10">
        <v>42886</v>
      </c>
      <c r="D10" s="10">
        <v>42794</v>
      </c>
      <c r="E10">
        <v>1.000902926</v>
      </c>
      <c r="F10">
        <v>-0.35299999999999998</v>
      </c>
      <c r="G10">
        <v>-0.352536444</v>
      </c>
      <c r="H10">
        <v>-0.35299999999999998</v>
      </c>
      <c r="I10">
        <v>-0.35253699999999999</v>
      </c>
      <c r="J10" t="s">
        <v>19</v>
      </c>
      <c r="L10">
        <v>0</v>
      </c>
      <c r="M10">
        <v>-0.35299999999999998</v>
      </c>
      <c r="N10" s="26">
        <v>-0.35299999999999998</v>
      </c>
    </row>
    <row r="11" spans="1:16" x14ac:dyDescent="0.25">
      <c r="A11" t="s">
        <v>32</v>
      </c>
      <c r="B11">
        <v>0.33900000000000002</v>
      </c>
      <c r="C11" s="10">
        <v>42916</v>
      </c>
      <c r="D11" s="10">
        <v>42794</v>
      </c>
      <c r="E11">
        <v>1.0012011080000001</v>
      </c>
      <c r="F11">
        <v>-0.35399999999999998</v>
      </c>
      <c r="G11">
        <v>-0.35358591900000003</v>
      </c>
      <c r="H11">
        <v>-0.35399999999999998</v>
      </c>
      <c r="I11">
        <v>-0.35358600000000001</v>
      </c>
      <c r="J11" t="s">
        <v>19</v>
      </c>
      <c r="L11">
        <v>0</v>
      </c>
      <c r="M11">
        <v>-0.35399999999999998</v>
      </c>
      <c r="N11" s="26">
        <v>-0.35399999999999998</v>
      </c>
    </row>
    <row r="12" spans="1:16" x14ac:dyDescent="0.25">
      <c r="A12" t="s">
        <v>33</v>
      </c>
      <c r="B12">
        <v>0.42499999999999999</v>
      </c>
      <c r="C12" s="10">
        <v>42947</v>
      </c>
      <c r="D12" s="10">
        <v>42794</v>
      </c>
      <c r="E12">
        <v>1.0015025040000001</v>
      </c>
      <c r="F12">
        <v>-0.35299999999999998</v>
      </c>
      <c r="G12">
        <v>-0.352641812</v>
      </c>
      <c r="H12">
        <v>-0.35299999999999998</v>
      </c>
      <c r="I12">
        <v>-0.35264200000000001</v>
      </c>
      <c r="J12" t="s">
        <v>19</v>
      </c>
      <c r="L12">
        <v>0</v>
      </c>
      <c r="M12">
        <v>-0.35299999999999998</v>
      </c>
      <c r="N12" s="26">
        <v>-0.35299999999999998</v>
      </c>
    </row>
    <row r="13" spans="1:16" x14ac:dyDescent="0.25">
      <c r="A13" t="s">
        <v>34</v>
      </c>
      <c r="B13">
        <v>0.51100000000000001</v>
      </c>
      <c r="C13" s="10">
        <v>42978</v>
      </c>
      <c r="D13" s="10">
        <v>42794</v>
      </c>
      <c r="E13">
        <v>1.0018074830000001</v>
      </c>
      <c r="F13">
        <v>-0.35299999999999998</v>
      </c>
      <c r="G13">
        <v>-0.352695392</v>
      </c>
      <c r="H13">
        <v>-0.35299999999999998</v>
      </c>
      <c r="I13">
        <v>-0.35269600000000001</v>
      </c>
      <c r="J13" t="s">
        <v>19</v>
      </c>
      <c r="L13">
        <v>0</v>
      </c>
      <c r="M13">
        <v>-0.35299999999999998</v>
      </c>
      <c r="N13" s="26">
        <v>-0.35299999999999998</v>
      </c>
    </row>
    <row r="14" spans="1:16" x14ac:dyDescent="0.25">
      <c r="A14" t="s">
        <v>35</v>
      </c>
      <c r="B14">
        <v>0.59199999999999997</v>
      </c>
      <c r="C14" s="10">
        <v>43007</v>
      </c>
      <c r="D14" s="10">
        <v>42794</v>
      </c>
      <c r="E14">
        <v>1.0020988959999999</v>
      </c>
      <c r="F14">
        <v>-0.35399999999999998</v>
      </c>
      <c r="G14">
        <v>-0.35374409099999998</v>
      </c>
      <c r="H14">
        <v>-0.35399999999999998</v>
      </c>
      <c r="I14">
        <v>-0.35374499999999998</v>
      </c>
      <c r="J14" t="s">
        <v>19</v>
      </c>
      <c r="L14">
        <v>0</v>
      </c>
      <c r="M14">
        <v>-0.35399999999999998</v>
      </c>
      <c r="N14" s="26">
        <v>-0.35399999999999998</v>
      </c>
    </row>
    <row r="15" spans="1:16" x14ac:dyDescent="0.25">
      <c r="A15" t="s">
        <v>36</v>
      </c>
      <c r="B15">
        <v>0.68100000000000005</v>
      </c>
      <c r="C15" s="10">
        <v>43039</v>
      </c>
      <c r="D15" s="10">
        <v>42794</v>
      </c>
      <c r="E15">
        <v>1.0024149849999999</v>
      </c>
      <c r="F15">
        <v>-0.35399999999999998</v>
      </c>
      <c r="G15">
        <v>-0.35379975800000002</v>
      </c>
      <c r="H15">
        <v>-0.35399999999999998</v>
      </c>
      <c r="I15">
        <v>-0.3538</v>
      </c>
      <c r="J15" t="s">
        <v>19</v>
      </c>
      <c r="L15">
        <v>0</v>
      </c>
      <c r="M15">
        <v>-0.35399999999999998</v>
      </c>
      <c r="N15" s="26">
        <v>-0.35399999999999998</v>
      </c>
    </row>
    <row r="16" spans="1:16" x14ac:dyDescent="0.25">
      <c r="A16" t="s">
        <v>37</v>
      </c>
      <c r="B16">
        <v>0.76400000000000001</v>
      </c>
      <c r="C16" s="10">
        <v>43069</v>
      </c>
      <c r="D16" s="10">
        <v>42794</v>
      </c>
      <c r="E16">
        <v>1.0027114989999999</v>
      </c>
      <c r="F16">
        <v>-0.35399999999999998</v>
      </c>
      <c r="G16">
        <v>-0.35385196499999999</v>
      </c>
      <c r="H16">
        <v>-0.35400100000000001</v>
      </c>
      <c r="I16">
        <v>-0.353852</v>
      </c>
      <c r="J16" t="s">
        <v>19</v>
      </c>
      <c r="L16">
        <v>0</v>
      </c>
      <c r="M16">
        <v>-0.35399999999999998</v>
      </c>
      <c r="N16" s="26">
        <v>-0.35399999999999998</v>
      </c>
    </row>
    <row r="17" spans="1:14" x14ac:dyDescent="0.25">
      <c r="A17" t="s">
        <v>38</v>
      </c>
      <c r="B17">
        <v>0.84399999999999997</v>
      </c>
      <c r="C17" s="10">
        <v>43098</v>
      </c>
      <c r="D17" s="10">
        <v>42794</v>
      </c>
      <c r="E17">
        <v>1.0029982959999999</v>
      </c>
      <c r="F17">
        <v>-0.35399999999999998</v>
      </c>
      <c r="G17">
        <v>-0.35390245300000001</v>
      </c>
      <c r="H17">
        <v>-0.35400100000000001</v>
      </c>
      <c r="I17">
        <v>-0.35390300000000002</v>
      </c>
      <c r="J17" t="s">
        <v>19</v>
      </c>
      <c r="L17">
        <v>0</v>
      </c>
      <c r="M17">
        <v>-0.35399999999999998</v>
      </c>
      <c r="N17" s="26">
        <v>-0.35399999999999998</v>
      </c>
    </row>
    <row r="18" spans="1:14" x14ac:dyDescent="0.25">
      <c r="A18" t="s">
        <v>39</v>
      </c>
      <c r="B18">
        <v>0.93600000000000005</v>
      </c>
      <c r="C18" s="10">
        <v>43131</v>
      </c>
      <c r="D18" s="10">
        <v>42794</v>
      </c>
      <c r="E18">
        <v>1.0033248509999999</v>
      </c>
      <c r="F18">
        <v>-0.35399999999999998</v>
      </c>
      <c r="G18">
        <v>-0.35395992799999998</v>
      </c>
      <c r="H18">
        <v>-0.35400100000000001</v>
      </c>
      <c r="I18">
        <v>-0.35396100000000003</v>
      </c>
      <c r="J18" t="s">
        <v>19</v>
      </c>
      <c r="L18">
        <v>0</v>
      </c>
      <c r="M18">
        <v>-0.35399999999999998</v>
      </c>
      <c r="N18" s="26">
        <v>-0.35399999999999998</v>
      </c>
    </row>
    <row r="19" spans="1:14" x14ac:dyDescent="0.25">
      <c r="A19" t="s">
        <v>40</v>
      </c>
      <c r="B19">
        <v>1.014</v>
      </c>
      <c r="C19" s="10">
        <v>43159</v>
      </c>
      <c r="D19" s="10">
        <v>42794</v>
      </c>
      <c r="E19">
        <v>1.003602095</v>
      </c>
      <c r="F19">
        <v>-0.35399999999999998</v>
      </c>
      <c r="G19">
        <v>-0.35400871299999997</v>
      </c>
      <c r="H19">
        <v>-0.35400100000000001</v>
      </c>
      <c r="I19">
        <v>-0.35400900000000002</v>
      </c>
      <c r="J19" t="s">
        <v>19</v>
      </c>
      <c r="L19">
        <v>0</v>
      </c>
      <c r="M19">
        <v>-0.35399999999999998</v>
      </c>
      <c r="N19" s="26">
        <v>-0.35399999999999998</v>
      </c>
    </row>
    <row r="20" spans="1:14" x14ac:dyDescent="0.25">
      <c r="A20" t="s">
        <v>41</v>
      </c>
      <c r="B20">
        <v>1.2689999999999999</v>
      </c>
      <c r="C20" s="10">
        <v>43251</v>
      </c>
      <c r="D20" s="10">
        <v>42794</v>
      </c>
      <c r="E20">
        <v>1.0044725809999999</v>
      </c>
      <c r="F20">
        <v>-0.35075705499999998</v>
      </c>
      <c r="G20">
        <v>-0.35092310399999999</v>
      </c>
      <c r="H20">
        <v>-0.35100100000000001</v>
      </c>
      <c r="I20">
        <v>-0.35091499999999998</v>
      </c>
      <c r="J20" t="s">
        <v>19</v>
      </c>
      <c r="K20" t="s">
        <v>19</v>
      </c>
      <c r="L20">
        <v>0</v>
      </c>
      <c r="M20">
        <v>-0.35099999999999998</v>
      </c>
      <c r="N20" s="26">
        <v>-0.35099999999999998</v>
      </c>
    </row>
    <row r="21" spans="1:14" x14ac:dyDescent="0.25">
      <c r="A21" t="s">
        <v>44</v>
      </c>
      <c r="B21">
        <v>1.5249999999999999</v>
      </c>
      <c r="C21" s="10">
        <v>43343</v>
      </c>
      <c r="D21" s="10">
        <v>42794</v>
      </c>
      <c r="E21">
        <v>1.0053291879999999</v>
      </c>
      <c r="F21">
        <v>-0.34760252699999999</v>
      </c>
      <c r="G21">
        <v>-0.34792045500000002</v>
      </c>
      <c r="H21">
        <v>-0.348001</v>
      </c>
      <c r="I21">
        <v>-0.34790700000000002</v>
      </c>
      <c r="J21" t="s">
        <v>19</v>
      </c>
      <c r="K21" t="s">
        <v>19</v>
      </c>
      <c r="L21">
        <v>0</v>
      </c>
      <c r="M21">
        <v>-0.34799999999999998</v>
      </c>
      <c r="N21" s="26">
        <v>-0.34799999999999998</v>
      </c>
    </row>
    <row r="22" spans="1:14" x14ac:dyDescent="0.25">
      <c r="A22" t="s">
        <v>45</v>
      </c>
      <c r="B22">
        <v>1.778</v>
      </c>
      <c r="C22" s="10">
        <v>43434</v>
      </c>
      <c r="D22" s="10">
        <v>42794</v>
      </c>
      <c r="E22">
        <v>1.006126356</v>
      </c>
      <c r="F22">
        <v>-0.342509218</v>
      </c>
      <c r="G22">
        <v>-0.34296676999999998</v>
      </c>
      <c r="H22">
        <v>-0.34300199999999997</v>
      </c>
      <c r="I22">
        <v>-0.34294599999999997</v>
      </c>
      <c r="J22" t="s">
        <v>19</v>
      </c>
      <c r="K22" t="s">
        <v>19</v>
      </c>
      <c r="L22">
        <v>0</v>
      </c>
      <c r="M22">
        <v>-0.34300000000000003</v>
      </c>
      <c r="N22" s="26">
        <v>-0.34300000000000003</v>
      </c>
    </row>
    <row r="23" spans="1:14" x14ac:dyDescent="0.25">
      <c r="A23" t="s">
        <v>46</v>
      </c>
      <c r="B23">
        <v>2.028</v>
      </c>
      <c r="C23" s="10">
        <v>43524</v>
      </c>
      <c r="D23" s="10">
        <v>42794</v>
      </c>
      <c r="E23">
        <v>1.0068693900000001</v>
      </c>
      <c r="F23">
        <v>-0.33645321700000003</v>
      </c>
      <c r="G23">
        <v>-0.33703694499999998</v>
      </c>
      <c r="H23">
        <v>-0.33700200000000002</v>
      </c>
      <c r="I23">
        <v>-0.33700999999999998</v>
      </c>
      <c r="J23" t="s">
        <v>19</v>
      </c>
      <c r="K23" t="s">
        <v>19</v>
      </c>
      <c r="L23">
        <v>0</v>
      </c>
      <c r="M23">
        <v>-0.33700000000000002</v>
      </c>
      <c r="N23" s="26">
        <v>-0.33700000000000002</v>
      </c>
    </row>
    <row r="24" spans="1:14" x14ac:dyDescent="0.25">
      <c r="A24" t="s">
        <v>47</v>
      </c>
      <c r="B24">
        <v>3.0419999999999998</v>
      </c>
      <c r="C24" s="10">
        <v>43889</v>
      </c>
      <c r="D24" s="10">
        <v>42794</v>
      </c>
      <c r="E24">
        <v>1.00912337</v>
      </c>
      <c r="F24">
        <v>-0.29723464100000002</v>
      </c>
      <c r="G24">
        <v>-0.29814110100000002</v>
      </c>
      <c r="H24">
        <v>-0.29799999999999999</v>
      </c>
      <c r="I24">
        <v>-0.29800599999999999</v>
      </c>
      <c r="J24" t="s">
        <v>19</v>
      </c>
      <c r="K24" t="s">
        <v>19</v>
      </c>
      <c r="L24">
        <v>0</v>
      </c>
      <c r="M24">
        <v>-0.29799999999999999</v>
      </c>
      <c r="N24" s="26">
        <v>-0.29799999999999999</v>
      </c>
    </row>
    <row r="25" spans="1:14" x14ac:dyDescent="0.25">
      <c r="A25" t="s">
        <v>48</v>
      </c>
      <c r="B25">
        <v>4.0529999999999999</v>
      </c>
      <c r="C25" s="10">
        <v>44253</v>
      </c>
      <c r="D25" s="10">
        <v>42794</v>
      </c>
      <c r="E25">
        <v>1.0096344319999999</v>
      </c>
      <c r="F25">
        <v>-0.23545567000000001</v>
      </c>
      <c r="G25">
        <v>-0.23630664100000001</v>
      </c>
      <c r="H25">
        <v>-0.23599999999999999</v>
      </c>
      <c r="I25">
        <v>-0.23600299999999999</v>
      </c>
      <c r="J25" t="s">
        <v>19</v>
      </c>
      <c r="K25" t="s">
        <v>19</v>
      </c>
      <c r="L25">
        <v>0</v>
      </c>
      <c r="M25">
        <v>-0.23599999999999999</v>
      </c>
      <c r="N25" s="26">
        <v>-0.23599999999999999</v>
      </c>
    </row>
    <row r="26" spans="1:14" x14ac:dyDescent="0.25">
      <c r="A26" t="s">
        <v>49</v>
      </c>
      <c r="B26">
        <v>5.0720000000000001</v>
      </c>
      <c r="C26" s="10">
        <v>44620</v>
      </c>
      <c r="D26" s="10">
        <v>42794</v>
      </c>
      <c r="E26">
        <v>1.007664466</v>
      </c>
      <c r="F26">
        <v>-0.149957331</v>
      </c>
      <c r="G26">
        <v>-0.1504173</v>
      </c>
      <c r="H26">
        <v>-0.15</v>
      </c>
      <c r="I26">
        <v>-0.150001</v>
      </c>
      <c r="J26" t="s">
        <v>19</v>
      </c>
      <c r="K26" t="s">
        <v>19</v>
      </c>
      <c r="L26">
        <v>0</v>
      </c>
      <c r="M26">
        <v>-0.15</v>
      </c>
      <c r="N26" s="26">
        <v>-0.15</v>
      </c>
    </row>
    <row r="27" spans="1:14" x14ac:dyDescent="0.25">
      <c r="A27" t="s">
        <v>50</v>
      </c>
      <c r="B27">
        <v>6.0860000000000003</v>
      </c>
      <c r="C27" s="10">
        <v>44985</v>
      </c>
      <c r="D27" s="10">
        <v>42794</v>
      </c>
      <c r="E27">
        <v>1.002695557</v>
      </c>
      <c r="F27">
        <v>-4.4171237000000002E-2</v>
      </c>
      <c r="G27">
        <v>-4.4220937000000002E-2</v>
      </c>
      <c r="H27">
        <v>-4.3999999999999997E-2</v>
      </c>
      <c r="I27">
        <v>-4.3999999999999997E-2</v>
      </c>
      <c r="J27" t="s">
        <v>19</v>
      </c>
      <c r="K27" t="s">
        <v>19</v>
      </c>
      <c r="L27">
        <v>0</v>
      </c>
      <c r="M27">
        <v>-4.3999999999999997E-2</v>
      </c>
      <c r="N27" s="26">
        <v>-4.3999999999999997E-2</v>
      </c>
    </row>
    <row r="28" spans="1:14" x14ac:dyDescent="0.25">
      <c r="A28" t="s">
        <v>51</v>
      </c>
      <c r="B28">
        <v>7.1029999999999998</v>
      </c>
      <c r="C28" s="10">
        <v>45351</v>
      </c>
      <c r="D28" s="10">
        <v>42794</v>
      </c>
      <c r="E28">
        <v>0.99457556199999997</v>
      </c>
      <c r="F28">
        <v>7.6787177999999998E-2</v>
      </c>
      <c r="G28">
        <v>7.6607865999999997E-2</v>
      </c>
      <c r="H28">
        <v>7.5999999999999998E-2</v>
      </c>
      <c r="I28">
        <v>7.5999999999999998E-2</v>
      </c>
      <c r="J28" t="s">
        <v>19</v>
      </c>
      <c r="K28" t="s">
        <v>19</v>
      </c>
      <c r="L28">
        <v>0</v>
      </c>
      <c r="M28">
        <v>7.5999999999999998E-2</v>
      </c>
      <c r="N28" s="26">
        <v>7.5999999999999998E-2</v>
      </c>
    </row>
    <row r="29" spans="1:14" x14ac:dyDescent="0.25">
      <c r="A29" t="s">
        <v>52</v>
      </c>
      <c r="B29">
        <v>8.1170000000000009</v>
      </c>
      <c r="C29" s="10">
        <v>45716</v>
      </c>
      <c r="D29" s="10">
        <v>42794</v>
      </c>
      <c r="E29">
        <v>0.98356801400000005</v>
      </c>
      <c r="F29">
        <v>0.205829658</v>
      </c>
      <c r="G29">
        <v>0.20433770900000001</v>
      </c>
      <c r="H29">
        <v>0.20200199999999999</v>
      </c>
      <c r="I29">
        <v>0.20199900000000001</v>
      </c>
      <c r="J29" t="s">
        <v>19</v>
      </c>
      <c r="K29" t="s">
        <v>19</v>
      </c>
      <c r="L29">
        <v>0</v>
      </c>
      <c r="M29">
        <v>0.20200000000000001</v>
      </c>
      <c r="N29" s="26">
        <v>0.20200000000000001</v>
      </c>
    </row>
    <row r="30" spans="1:14" x14ac:dyDescent="0.25">
      <c r="A30" t="s">
        <v>53</v>
      </c>
      <c r="B30">
        <v>9.1280000000000001</v>
      </c>
      <c r="C30" s="10">
        <v>46080</v>
      </c>
      <c r="D30" s="10">
        <v>42794</v>
      </c>
      <c r="E30">
        <v>0.97046450299999998</v>
      </c>
      <c r="F30">
        <v>0.33342607899999999</v>
      </c>
      <c r="G30">
        <v>0.32899291899999999</v>
      </c>
      <c r="H30">
        <v>0.32400000000000001</v>
      </c>
      <c r="I30">
        <v>0.32399299999999998</v>
      </c>
      <c r="J30" t="s">
        <v>19</v>
      </c>
      <c r="K30" t="s">
        <v>19</v>
      </c>
      <c r="L30">
        <v>0</v>
      </c>
      <c r="M30">
        <v>0.32400000000000001</v>
      </c>
      <c r="N30" s="26">
        <v>0.32400000000000001</v>
      </c>
    </row>
    <row r="31" spans="1:14" x14ac:dyDescent="0.25">
      <c r="A31" t="s">
        <v>54</v>
      </c>
      <c r="B31">
        <v>10.138999999999999</v>
      </c>
      <c r="C31" s="10">
        <v>46444</v>
      </c>
      <c r="D31" s="10">
        <v>42794</v>
      </c>
      <c r="E31">
        <v>0.95573891300000002</v>
      </c>
      <c r="F31">
        <v>0.45676461000000002</v>
      </c>
      <c r="G31">
        <v>0.44750194599999998</v>
      </c>
      <c r="H31">
        <v>0.439</v>
      </c>
      <c r="I31">
        <v>0.43898900000000002</v>
      </c>
      <c r="J31" t="s">
        <v>19</v>
      </c>
      <c r="K31" t="s">
        <v>19</v>
      </c>
      <c r="L31">
        <v>0</v>
      </c>
      <c r="M31">
        <v>0.439</v>
      </c>
      <c r="N31" s="26">
        <v>0.439</v>
      </c>
    </row>
    <row r="32" spans="1:14" x14ac:dyDescent="0.25">
      <c r="A32" t="s">
        <v>55</v>
      </c>
      <c r="B32">
        <v>11.161</v>
      </c>
      <c r="C32" s="10">
        <v>46812</v>
      </c>
      <c r="D32" s="10">
        <v>42794</v>
      </c>
      <c r="E32">
        <v>0.93981590599999998</v>
      </c>
      <c r="F32">
        <v>0.57376163099999999</v>
      </c>
      <c r="G32">
        <v>0.55768810400000002</v>
      </c>
      <c r="H32">
        <v>0.54499900000000001</v>
      </c>
      <c r="I32">
        <v>0.54498199999999997</v>
      </c>
      <c r="J32" t="s">
        <v>19</v>
      </c>
      <c r="K32" t="s">
        <v>19</v>
      </c>
      <c r="L32">
        <v>0</v>
      </c>
      <c r="M32">
        <v>0.54500000000000004</v>
      </c>
      <c r="N32" s="26">
        <v>0.54500000000000004</v>
      </c>
    </row>
    <row r="33" spans="1:14" x14ac:dyDescent="0.25">
      <c r="A33" t="s">
        <v>56</v>
      </c>
      <c r="B33">
        <v>12.175000000000001</v>
      </c>
      <c r="C33" s="10">
        <v>47177</v>
      </c>
      <c r="D33" s="10">
        <v>42794</v>
      </c>
      <c r="E33">
        <v>0.92357173400000003</v>
      </c>
      <c r="F33">
        <v>0.67969551699999997</v>
      </c>
      <c r="G33">
        <v>0.65517022999999996</v>
      </c>
      <c r="H33">
        <v>0.63800000000000001</v>
      </c>
      <c r="I33">
        <v>0.63797599999999999</v>
      </c>
      <c r="J33" t="s">
        <v>19</v>
      </c>
      <c r="K33" t="s">
        <v>19</v>
      </c>
      <c r="L33">
        <v>0</v>
      </c>
      <c r="M33">
        <v>0.63800000000000001</v>
      </c>
      <c r="N33" s="26">
        <v>0.63800000000000001</v>
      </c>
    </row>
    <row r="34" spans="1:14" x14ac:dyDescent="0.25">
      <c r="A34" t="s">
        <v>59</v>
      </c>
      <c r="B34">
        <v>15.214</v>
      </c>
      <c r="C34" s="10">
        <v>48271</v>
      </c>
      <c r="D34" s="10">
        <v>42794</v>
      </c>
      <c r="E34">
        <v>0.87484442399999995</v>
      </c>
      <c r="F34">
        <v>0.94032749199999999</v>
      </c>
      <c r="G34">
        <v>0.88273613299999998</v>
      </c>
      <c r="H34">
        <v>0.85199800000000003</v>
      </c>
      <c r="I34">
        <v>0.85195500000000002</v>
      </c>
      <c r="J34" t="s">
        <v>19</v>
      </c>
      <c r="K34" t="s">
        <v>19</v>
      </c>
      <c r="L34">
        <v>0</v>
      </c>
      <c r="M34">
        <v>0.85199999999999998</v>
      </c>
      <c r="N34" s="26">
        <v>0.85199999999999998</v>
      </c>
    </row>
    <row r="35" spans="1:14" x14ac:dyDescent="0.25">
      <c r="A35" t="s">
        <v>64</v>
      </c>
      <c r="B35">
        <v>20.289000000000001</v>
      </c>
      <c r="C35" s="10">
        <v>50098</v>
      </c>
      <c r="D35" s="10">
        <v>42794</v>
      </c>
      <c r="E35">
        <v>0.80216623300000001</v>
      </c>
      <c r="F35">
        <v>1.2155638609999999</v>
      </c>
      <c r="G35">
        <v>1.092427043</v>
      </c>
      <c r="H35">
        <v>1.0459989999999999</v>
      </c>
      <c r="I35">
        <v>1.045933</v>
      </c>
      <c r="J35" t="s">
        <v>19</v>
      </c>
      <c r="K35" t="s">
        <v>19</v>
      </c>
      <c r="L35">
        <v>0</v>
      </c>
      <c r="M35">
        <v>1.046</v>
      </c>
      <c r="N35" s="26">
        <v>1.046</v>
      </c>
    </row>
    <row r="36" spans="1:14" x14ac:dyDescent="0.25">
      <c r="A36" t="s">
        <v>69</v>
      </c>
      <c r="B36">
        <v>25.364000000000001</v>
      </c>
      <c r="C36" s="10">
        <v>51925</v>
      </c>
      <c r="D36" s="10">
        <v>42794</v>
      </c>
      <c r="E36">
        <v>0.74298346100000001</v>
      </c>
      <c r="F36">
        <v>1.3638483509999999</v>
      </c>
      <c r="G36">
        <v>1.1781636980000001</v>
      </c>
      <c r="H36">
        <v>1.127</v>
      </c>
      <c r="I36">
        <v>1.1269229999999999</v>
      </c>
      <c r="J36" t="s">
        <v>19</v>
      </c>
      <c r="K36" t="s">
        <v>19</v>
      </c>
      <c r="L36">
        <v>0</v>
      </c>
      <c r="M36">
        <v>1.127</v>
      </c>
      <c r="N36" s="26">
        <v>1.127</v>
      </c>
    </row>
    <row r="37" spans="1:14" x14ac:dyDescent="0.25">
      <c r="A37" t="s">
        <v>74</v>
      </c>
      <c r="B37">
        <v>30.436</v>
      </c>
      <c r="C37" s="10">
        <v>53751</v>
      </c>
      <c r="D37" s="10">
        <v>42794</v>
      </c>
      <c r="E37">
        <v>0.69272529400000005</v>
      </c>
      <c r="F37">
        <v>1.4573927520000001</v>
      </c>
      <c r="G37">
        <v>1.2135085430000001</v>
      </c>
      <c r="H37">
        <v>1.1629989999999999</v>
      </c>
      <c r="I37">
        <v>1.162917</v>
      </c>
      <c r="J37" t="s">
        <v>19</v>
      </c>
      <c r="K37" t="s">
        <v>19</v>
      </c>
      <c r="L37">
        <v>0</v>
      </c>
      <c r="M37">
        <v>1.163</v>
      </c>
      <c r="N37" s="26">
        <v>1.163</v>
      </c>
    </row>
    <row r="38" spans="1:14" x14ac:dyDescent="0.25">
      <c r="A38" t="s">
        <v>84</v>
      </c>
      <c r="B38">
        <v>40.582999999999998</v>
      </c>
      <c r="C38" s="10">
        <v>57404</v>
      </c>
      <c r="D38" s="10">
        <v>42794</v>
      </c>
      <c r="E38">
        <v>0.61013978800000002</v>
      </c>
      <c r="F38">
        <v>1.574460803</v>
      </c>
      <c r="G38">
        <v>1.2248546629999999</v>
      </c>
      <c r="H38">
        <v>1.181999</v>
      </c>
      <c r="I38">
        <v>1.181915</v>
      </c>
      <c r="J38" t="s">
        <v>19</v>
      </c>
      <c r="K38" t="s">
        <v>19</v>
      </c>
      <c r="L38">
        <v>0</v>
      </c>
      <c r="M38">
        <v>1.1819999999999999</v>
      </c>
      <c r="N38" s="26">
        <v>1.1819999999999999</v>
      </c>
    </row>
    <row r="39" spans="1:14" x14ac:dyDescent="0.25">
      <c r="A39" t="s">
        <v>94</v>
      </c>
      <c r="B39">
        <v>50.728000000000002</v>
      </c>
      <c r="C39" s="10">
        <v>61056</v>
      </c>
      <c r="D39" s="10">
        <v>42794</v>
      </c>
      <c r="E39">
        <v>0.55509332099999997</v>
      </c>
      <c r="F39">
        <v>1.5799999979999999</v>
      </c>
      <c r="G39">
        <v>1.1671067079999999</v>
      </c>
      <c r="H39">
        <v>1.1449990000000001</v>
      </c>
      <c r="I39">
        <v>1.1449199999999999</v>
      </c>
      <c r="J39" t="s">
        <v>19</v>
      </c>
      <c r="K39" t="s">
        <v>19</v>
      </c>
      <c r="L39">
        <v>0</v>
      </c>
      <c r="M39">
        <v>1.145</v>
      </c>
      <c r="N39" s="26">
        <v>1.145</v>
      </c>
    </row>
    <row r="40" spans="1:14" x14ac:dyDescent="0.25">
      <c r="A40" t="s">
        <v>104</v>
      </c>
      <c r="B40">
        <v>60.869</v>
      </c>
      <c r="C40" s="10">
        <v>64707</v>
      </c>
      <c r="D40" s="10">
        <v>42794</v>
      </c>
      <c r="E40">
        <v>0.50538285999999999</v>
      </c>
      <c r="F40">
        <v>1.6078640150000001</v>
      </c>
      <c r="G40">
        <v>1.127460471</v>
      </c>
      <c r="H40">
        <v>1.1189990000000001</v>
      </c>
      <c r="I40">
        <v>1.1189229999999999</v>
      </c>
      <c r="J40" t="s">
        <v>19</v>
      </c>
      <c r="K40" t="s">
        <v>19</v>
      </c>
      <c r="L40">
        <v>0</v>
      </c>
      <c r="M40">
        <v>1.119</v>
      </c>
      <c r="N40" s="26">
        <v>1.119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workbookViewId="0">
      <selection activeCell="B7" sqref="B7"/>
    </sheetView>
  </sheetViews>
  <sheetFormatPr defaultRowHeight="15" x14ac:dyDescent="0.25"/>
  <cols>
    <col min="1" max="1" width="5.140625" bestFit="1" customWidth="1"/>
    <col min="2" max="2" width="23" bestFit="1" customWidth="1"/>
  </cols>
  <sheetData>
    <row r="2" spans="1:2" x14ac:dyDescent="0.25">
      <c r="A2" s="27" t="str">
        <f>_xll.ohVersion()</f>
        <v>1.8.0</v>
      </c>
      <c r="B2" s="27" t="s">
        <v>105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36" sqref="F36"/>
    </sheetView>
  </sheetViews>
  <sheetFormatPr defaultRowHeight="15" x14ac:dyDescent="0.25"/>
  <cols>
    <col min="1" max="1" width="10.7109375" bestFit="1" customWidth="1"/>
  </cols>
  <sheetData>
    <row r="1" spans="1:1" x14ac:dyDescent="0.25">
      <c r="A1" s="12">
        <f>DATE(2017,2,24)</f>
        <v>42790</v>
      </c>
    </row>
    <row r="2" spans="1:1" x14ac:dyDescent="0.25">
      <c r="A2" s="11" t="b">
        <f>_xll.qlSettingsSetEvaluationDate(A1)</f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B12" sqref="B12"/>
    </sheetView>
  </sheetViews>
  <sheetFormatPr defaultRowHeight="15" x14ac:dyDescent="0.25"/>
  <cols>
    <col min="2" max="2" width="18.5703125" bestFit="1" customWidth="1"/>
    <col min="9" max="9" width="38.140625" customWidth="1"/>
    <col min="13" max="13" width="47.42578125" bestFit="1" customWidth="1"/>
    <col min="14" max="14" width="36" customWidth="1"/>
  </cols>
  <sheetData>
    <row r="1" spans="1:13" x14ac:dyDescent="0.25">
      <c r="I1" s="13" t="s">
        <v>106</v>
      </c>
      <c r="M1" s="13" t="s">
        <v>415</v>
      </c>
    </row>
    <row r="2" spans="1:13" x14ac:dyDescent="0.25">
      <c r="A2" s="11" t="s">
        <v>129</v>
      </c>
      <c r="B2" s="11" t="str">
        <f t="array" ref="B2">_xll.qlEonia(B3)</f>
        <v>EONIA1#0000</v>
      </c>
      <c r="C2" s="28" t="str">
        <f>_xll.ohRangeRetrieveError(B2)</f>
        <v/>
      </c>
    </row>
    <row r="3" spans="1:13" x14ac:dyDescent="0.25">
      <c r="A3" s="11" t="s">
        <v>130</v>
      </c>
      <c r="B3" s="11" t="s">
        <v>463</v>
      </c>
      <c r="I3" t="s">
        <v>107</v>
      </c>
      <c r="M3" t="s">
        <v>107</v>
      </c>
    </row>
    <row r="4" spans="1:13" x14ac:dyDescent="0.25">
      <c r="I4" t="s">
        <v>108</v>
      </c>
      <c r="M4" t="s">
        <v>416</v>
      </c>
    </row>
    <row r="5" spans="1:13" x14ac:dyDescent="0.25">
      <c r="I5" t="s">
        <v>109</v>
      </c>
      <c r="M5" t="s">
        <v>109</v>
      </c>
    </row>
    <row r="6" spans="1:13" x14ac:dyDescent="0.25">
      <c r="A6" s="11" t="s">
        <v>129</v>
      </c>
      <c r="B6" s="11" t="str">
        <f>_xll.qlEuribor(B7,B8)</f>
        <v>EUR SWAP 6M#0000</v>
      </c>
      <c r="C6" s="28" t="str">
        <f>_xll.ohRangeRetrieveError(B6)</f>
        <v/>
      </c>
      <c r="I6" t="s">
        <v>110</v>
      </c>
      <c r="M6" t="s">
        <v>135</v>
      </c>
    </row>
    <row r="7" spans="1:13" x14ac:dyDescent="0.25">
      <c r="A7" s="11" t="s">
        <v>130</v>
      </c>
      <c r="B7" s="11" t="s">
        <v>414</v>
      </c>
      <c r="I7" t="s">
        <v>111</v>
      </c>
      <c r="M7" t="s">
        <v>110</v>
      </c>
    </row>
    <row r="8" spans="1:13" x14ac:dyDescent="0.25">
      <c r="A8" s="48" t="s">
        <v>144</v>
      </c>
      <c r="B8" t="s">
        <v>187</v>
      </c>
      <c r="I8" t="s">
        <v>112</v>
      </c>
      <c r="M8" t="s">
        <v>111</v>
      </c>
    </row>
    <row r="9" spans="1:13" x14ac:dyDescent="0.25">
      <c r="A9" s="48" t="s">
        <v>690</v>
      </c>
      <c r="I9" t="s">
        <v>113</v>
      </c>
      <c r="M9" t="s">
        <v>112</v>
      </c>
    </row>
    <row r="10" spans="1:13" x14ac:dyDescent="0.25">
      <c r="M10" t="s">
        <v>113</v>
      </c>
    </row>
    <row r="11" spans="1:13" x14ac:dyDescent="0.25">
      <c r="I11" t="s">
        <v>114</v>
      </c>
    </row>
    <row r="12" spans="1:13" x14ac:dyDescent="0.25">
      <c r="A12" s="11" t="s">
        <v>129</v>
      </c>
      <c r="B12" s="11" t="str">
        <f>_xll.qlEuribor(B13,B14,B15)</f>
        <v>EUR SWAP 6M CCT Euro#0000</v>
      </c>
      <c r="M12" t="s">
        <v>114</v>
      </c>
    </row>
    <row r="13" spans="1:13" x14ac:dyDescent="0.25">
      <c r="A13" s="11" t="s">
        <v>130</v>
      </c>
      <c r="B13" s="11" t="s">
        <v>691</v>
      </c>
      <c r="I13" t="s">
        <v>115</v>
      </c>
    </row>
    <row r="14" spans="1:13" x14ac:dyDescent="0.25">
      <c r="A14" s="48" t="s">
        <v>144</v>
      </c>
      <c r="B14" t="s">
        <v>187</v>
      </c>
      <c r="M14" t="s">
        <v>417</v>
      </c>
    </row>
    <row r="15" spans="1:13" x14ac:dyDescent="0.25">
      <c r="A15" s="48" t="s">
        <v>690</v>
      </c>
      <c r="B15" t="str">
        <f>+'9.Piecewise_YieldCurve_SW6'!D2</f>
        <v>SW6_curve#0000</v>
      </c>
      <c r="I15" t="s">
        <v>116</v>
      </c>
    </row>
    <row r="16" spans="1:13" x14ac:dyDescent="0.25">
      <c r="M16" t="s">
        <v>116</v>
      </c>
    </row>
    <row r="17" spans="9:14" x14ac:dyDescent="0.25">
      <c r="I17" t="s">
        <v>117</v>
      </c>
    </row>
    <row r="18" spans="9:14" x14ac:dyDescent="0.25">
      <c r="M18" t="s">
        <v>117</v>
      </c>
    </row>
    <row r="19" spans="9:14" x14ac:dyDescent="0.25">
      <c r="I19" t="s">
        <v>118</v>
      </c>
    </row>
    <row r="20" spans="9:14" ht="60" x14ac:dyDescent="0.25">
      <c r="I20" s="14" t="s">
        <v>119</v>
      </c>
      <c r="J20" s="14" t="s">
        <v>120</v>
      </c>
      <c r="M20" t="s">
        <v>118</v>
      </c>
    </row>
    <row r="21" spans="9:14" ht="120" x14ac:dyDescent="0.25">
      <c r="I21" s="14" t="s">
        <v>121</v>
      </c>
      <c r="J21" s="14" t="s">
        <v>122</v>
      </c>
      <c r="M21" s="14" t="s">
        <v>119</v>
      </c>
      <c r="N21" s="14" t="s">
        <v>120</v>
      </c>
    </row>
    <row r="22" spans="9:14" ht="75" x14ac:dyDescent="0.25">
      <c r="I22" s="14" t="s">
        <v>123</v>
      </c>
      <c r="J22" s="14" t="s">
        <v>124</v>
      </c>
      <c r="M22" s="14" t="s">
        <v>144</v>
      </c>
      <c r="N22" s="14" t="s">
        <v>418</v>
      </c>
    </row>
    <row r="23" spans="9:14" ht="60" x14ac:dyDescent="0.25">
      <c r="I23" s="14" t="s">
        <v>125</v>
      </c>
      <c r="J23" s="14" t="s">
        <v>126</v>
      </c>
      <c r="M23" s="14" t="s">
        <v>121</v>
      </c>
      <c r="N23" s="14" t="s">
        <v>122</v>
      </c>
    </row>
    <row r="24" spans="9:14" ht="30" x14ac:dyDescent="0.25">
      <c r="I24" s="14" t="s">
        <v>127</v>
      </c>
      <c r="J24" s="14" t="s">
        <v>128</v>
      </c>
      <c r="M24" s="14" t="s">
        <v>123</v>
      </c>
      <c r="N24" s="14" t="s">
        <v>124</v>
      </c>
    </row>
    <row r="25" spans="9:14" x14ac:dyDescent="0.25">
      <c r="M25" s="14" t="s">
        <v>125</v>
      </c>
      <c r="N25" s="14" t="s">
        <v>126</v>
      </c>
    </row>
    <row r="26" spans="9:14" x14ac:dyDescent="0.25">
      <c r="M26" s="14" t="s">
        <v>127</v>
      </c>
      <c r="N26" s="14" t="s">
        <v>128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workbookViewId="0">
      <selection activeCell="B21" sqref="B21"/>
    </sheetView>
  </sheetViews>
  <sheetFormatPr defaultRowHeight="15" x14ac:dyDescent="0.25"/>
  <cols>
    <col min="1" max="1" width="15.28515625" bestFit="1" customWidth="1"/>
    <col min="2" max="2" width="10.140625" bestFit="1" customWidth="1"/>
    <col min="3" max="3" width="9.85546875" style="16" bestFit="1" customWidth="1"/>
    <col min="7" max="7" width="29.42578125" customWidth="1"/>
    <col min="16" max="16" width="27.140625" customWidth="1"/>
  </cols>
  <sheetData>
    <row r="1" spans="1:16" x14ac:dyDescent="0.25">
      <c r="A1" t="s">
        <v>162</v>
      </c>
      <c r="B1" t="s">
        <v>130</v>
      </c>
      <c r="C1" s="16" t="s">
        <v>142</v>
      </c>
      <c r="D1" t="s">
        <v>144</v>
      </c>
      <c r="E1" t="s">
        <v>146</v>
      </c>
      <c r="F1" t="s">
        <v>148</v>
      </c>
      <c r="G1" t="s">
        <v>150</v>
      </c>
      <c r="H1" t="s">
        <v>152</v>
      </c>
      <c r="I1" t="s">
        <v>154</v>
      </c>
      <c r="J1" t="s">
        <v>123</v>
      </c>
      <c r="K1" t="s">
        <v>125</v>
      </c>
      <c r="L1" t="s">
        <v>127</v>
      </c>
      <c r="M1" t="s">
        <v>160</v>
      </c>
      <c r="P1" s="13" t="s">
        <v>132</v>
      </c>
    </row>
    <row r="2" spans="1:16" x14ac:dyDescent="0.25">
      <c r="A2" s="9" t="str">
        <f>_xll.qlDepositRateHelper2(B2,C2,D2,E2,F2,G2,H2,I2)</f>
        <v>OISOVN#0000</v>
      </c>
      <c r="B2" t="str">
        <f>"OIS"&amp;'1_DatiInput_Eonia'!A2</f>
        <v>OISOVN</v>
      </c>
      <c r="C2" s="20">
        <f>'1_DatiInput_Eonia'!N2/100</f>
        <v>-4.0000000000000001E-3</v>
      </c>
      <c r="D2" t="s">
        <v>156</v>
      </c>
      <c r="E2">
        <v>0</v>
      </c>
      <c r="F2" t="s">
        <v>157</v>
      </c>
      <c r="G2" t="s">
        <v>158</v>
      </c>
      <c r="H2" t="b">
        <v>1</v>
      </c>
      <c r="I2" t="s">
        <v>159</v>
      </c>
      <c r="M2">
        <v>1</v>
      </c>
    </row>
    <row r="3" spans="1:16" x14ac:dyDescent="0.25">
      <c r="A3" s="9" t="str">
        <f t="array" ref="A3">_xll.qlDepositRateHelper2(B3,C3,D3,E3,F3,G3,H3,I3)</f>
        <v>OISTN#0000</v>
      </c>
      <c r="B3" t="str">
        <f>"OIS"&amp;'1_DatiInput_Eonia'!A3</f>
        <v>OISTN</v>
      </c>
      <c r="C3" s="20">
        <f>'1_DatiInput_Eonia'!N3/100</f>
        <v>-4.0000000000000001E-3</v>
      </c>
      <c r="D3" t="s">
        <v>156</v>
      </c>
      <c r="E3">
        <v>1</v>
      </c>
      <c r="F3" t="s">
        <v>157</v>
      </c>
      <c r="G3" t="s">
        <v>158</v>
      </c>
      <c r="H3" t="b">
        <v>1</v>
      </c>
      <c r="I3" t="str">
        <f>+I2</f>
        <v>Actual/360</v>
      </c>
      <c r="M3">
        <f>+M2+1</f>
        <v>2</v>
      </c>
      <c r="P3" t="s">
        <v>107</v>
      </c>
    </row>
    <row r="4" spans="1:16" x14ac:dyDescent="0.25">
      <c r="A4" s="9" t="str">
        <f t="array" ref="A4">_xll.qlDepositRateHelper2(B4,C4,D4,E4,F4,G4,H4,I4)</f>
        <v>OISSN#0000</v>
      </c>
      <c r="B4" t="str">
        <f>"OIS"&amp;'1_DatiInput_Eonia'!A4</f>
        <v>OISSN</v>
      </c>
      <c r="C4" s="20">
        <f>'1_DatiInput_Eonia'!N4/100</f>
        <v>-4.1999999999999997E-3</v>
      </c>
      <c r="D4" t="s">
        <v>161</v>
      </c>
      <c r="E4">
        <v>2</v>
      </c>
      <c r="F4" t="s">
        <v>157</v>
      </c>
      <c r="G4" t="s">
        <v>158</v>
      </c>
      <c r="H4" t="b">
        <v>1</v>
      </c>
      <c r="I4" t="str">
        <f t="shared" ref="I4:I19" si="0">+I3</f>
        <v>Actual/360</v>
      </c>
      <c r="M4">
        <f t="shared" ref="M4:M18" si="1">+M3+1</f>
        <v>3</v>
      </c>
      <c r="P4" t="s">
        <v>133</v>
      </c>
    </row>
    <row r="5" spans="1:16" x14ac:dyDescent="0.25">
      <c r="A5" s="9" t="str">
        <f t="array" ref="A5">_xll.qlDepositRateHelper2(B5,C5,D5,E5,F5,G5,H5,I5)</f>
        <v>OIS1 Week#0000</v>
      </c>
      <c r="B5" t="str">
        <f>"OIS"&amp;'1_DatiInput_Eonia'!A5</f>
        <v>OIS1 Week</v>
      </c>
      <c r="C5" s="20">
        <f>'1_DatiInput_Eonia'!N5/100</f>
        <v>-3.5199999999999997E-3</v>
      </c>
      <c r="D5" t="s">
        <v>179</v>
      </c>
      <c r="E5">
        <f>+E4</f>
        <v>2</v>
      </c>
      <c r="F5" t="s">
        <v>157</v>
      </c>
      <c r="G5" t="s">
        <v>158</v>
      </c>
      <c r="H5" t="b">
        <v>1</v>
      </c>
      <c r="I5" t="str">
        <f t="shared" si="0"/>
        <v>Actual/360</v>
      </c>
      <c r="M5">
        <f t="shared" si="1"/>
        <v>4</v>
      </c>
      <c r="P5" t="s">
        <v>109</v>
      </c>
    </row>
    <row r="6" spans="1:16" x14ac:dyDescent="0.25">
      <c r="A6" s="9" t="str">
        <f t="array" ref="A6">_xll.qlDepositRateHelper2(B6,C6,D6,E6,F6,G6,H6,I6)</f>
        <v>OIS2 Weeks#0000</v>
      </c>
      <c r="B6" t="str">
        <f>"OIS"&amp;'1_DatiInput_Eonia'!A6</f>
        <v>OIS2 Weeks</v>
      </c>
      <c r="C6" s="20">
        <f>'1_DatiInput_Eonia'!N6/100</f>
        <v>-3.5299999999999997E-3</v>
      </c>
      <c r="D6" t="s">
        <v>180</v>
      </c>
      <c r="E6">
        <f t="shared" ref="E6:E19" si="2">+E5</f>
        <v>2</v>
      </c>
      <c r="F6" t="s">
        <v>157</v>
      </c>
      <c r="G6" t="s">
        <v>158</v>
      </c>
      <c r="H6" t="b">
        <v>1</v>
      </c>
      <c r="I6" t="str">
        <f t="shared" si="0"/>
        <v>Actual/360</v>
      </c>
      <c r="M6">
        <f t="shared" si="1"/>
        <v>5</v>
      </c>
      <c r="P6" t="s">
        <v>134</v>
      </c>
    </row>
    <row r="7" spans="1:16" x14ac:dyDescent="0.25">
      <c r="A7" s="9" t="str">
        <f t="array" ref="A7">_xll.qlDepositRateHelper2(B7,C7,D7,E7,F7,G7,H7,I7)</f>
        <v>OIS3 Weeks#0000</v>
      </c>
      <c r="B7" t="str">
        <f>"OIS"&amp;'1_DatiInput_Eonia'!A7</f>
        <v>OIS3 Weeks</v>
      </c>
      <c r="C7" s="20">
        <f>'1_DatiInput_Eonia'!N7/100</f>
        <v>-3.5399999999999997E-3</v>
      </c>
      <c r="D7" t="s">
        <v>181</v>
      </c>
      <c r="E7">
        <f t="shared" si="2"/>
        <v>2</v>
      </c>
      <c r="F7" t="s">
        <v>157</v>
      </c>
      <c r="G7" t="s">
        <v>158</v>
      </c>
      <c r="H7" t="b">
        <v>1</v>
      </c>
      <c r="I7" t="str">
        <f t="shared" si="0"/>
        <v>Actual/360</v>
      </c>
      <c r="M7">
        <f t="shared" si="1"/>
        <v>6</v>
      </c>
      <c r="P7" t="s">
        <v>135</v>
      </c>
    </row>
    <row r="8" spans="1:16" x14ac:dyDescent="0.25">
      <c r="A8" s="9" t="str">
        <f t="array" ref="A8">_xll.qlDepositRateHelper2(B8,C8,D8,E8,F8,G8,H8,I8)</f>
        <v>OIS1 Month#0000</v>
      </c>
      <c r="B8" t="str">
        <f>"OIS"&amp;'1_DatiInput_Eonia'!A8</f>
        <v>OIS1 Month</v>
      </c>
      <c r="C8" s="20">
        <f>'1_DatiInput_Eonia'!N8/100</f>
        <v>-3.5399999999999997E-3</v>
      </c>
      <c r="D8" t="s">
        <v>182</v>
      </c>
      <c r="E8">
        <f t="shared" si="2"/>
        <v>2</v>
      </c>
      <c r="F8" t="s">
        <v>157</v>
      </c>
      <c r="G8" t="s">
        <v>158</v>
      </c>
      <c r="H8" t="b">
        <v>1</v>
      </c>
      <c r="I8" t="str">
        <f t="shared" si="0"/>
        <v>Actual/360</v>
      </c>
      <c r="M8">
        <f t="shared" si="1"/>
        <v>7</v>
      </c>
      <c r="P8" t="s">
        <v>136</v>
      </c>
    </row>
    <row r="9" spans="1:16" x14ac:dyDescent="0.25">
      <c r="A9" s="9" t="str">
        <f t="array" ref="A9">_xll.qlDepositRateHelper2(B9,C9,D9,E9,F9,G9,H9,I9)</f>
        <v>OIS2 Months#0000</v>
      </c>
      <c r="B9" t="str">
        <f>"OIS"&amp;'1_DatiInput_Eonia'!A9</f>
        <v>OIS2 Months</v>
      </c>
      <c r="C9" s="20">
        <f>'1_DatiInput_Eonia'!N9/100</f>
        <v>-3.5299999999999997E-3</v>
      </c>
      <c r="D9" t="s">
        <v>183</v>
      </c>
      <c r="E9">
        <f t="shared" si="2"/>
        <v>2</v>
      </c>
      <c r="F9" t="s">
        <v>157</v>
      </c>
      <c r="G9" t="s">
        <v>158</v>
      </c>
      <c r="H9" t="b">
        <v>1</v>
      </c>
      <c r="I9" t="str">
        <f t="shared" si="0"/>
        <v>Actual/360</v>
      </c>
      <c r="M9">
        <f t="shared" si="1"/>
        <v>8</v>
      </c>
      <c r="P9" t="s">
        <v>137</v>
      </c>
    </row>
    <row r="10" spans="1:16" x14ac:dyDescent="0.25">
      <c r="A10" s="9" t="str">
        <f t="array" ref="A10">_xll.qlDepositRateHelper2(B10,C10,D10,E10,F10,G10,H10,I10)</f>
        <v>OIS3 Months#0000</v>
      </c>
      <c r="B10" t="str">
        <f>"OIS"&amp;'1_DatiInput_Eonia'!A10</f>
        <v>OIS3 Months</v>
      </c>
      <c r="C10" s="20">
        <f>'1_DatiInput_Eonia'!N10/100</f>
        <v>-3.5299999999999997E-3</v>
      </c>
      <c r="D10" t="s">
        <v>184</v>
      </c>
      <c r="E10">
        <f t="shared" si="2"/>
        <v>2</v>
      </c>
      <c r="F10" t="s">
        <v>157</v>
      </c>
      <c r="G10" t="s">
        <v>158</v>
      </c>
      <c r="H10" t="b">
        <v>1</v>
      </c>
      <c r="I10" t="str">
        <f t="shared" si="0"/>
        <v>Actual/360</v>
      </c>
      <c r="M10">
        <f t="shared" si="1"/>
        <v>9</v>
      </c>
      <c r="P10" t="s">
        <v>138</v>
      </c>
    </row>
    <row r="11" spans="1:16" x14ac:dyDescent="0.25">
      <c r="A11" s="9" t="str">
        <f t="array" ref="A11">_xll.qlDepositRateHelper2(B11,C11,D11,E11,F11,G11,H11,I11)</f>
        <v>OIS4 Months#0000</v>
      </c>
      <c r="B11" t="str">
        <f>"OIS"&amp;'1_DatiInput_Eonia'!A11</f>
        <v>OIS4 Months</v>
      </c>
      <c r="C11" s="20">
        <f>'1_DatiInput_Eonia'!N11/100</f>
        <v>-3.5399999999999997E-3</v>
      </c>
      <c r="D11" t="s">
        <v>185</v>
      </c>
      <c r="E11">
        <f t="shared" si="2"/>
        <v>2</v>
      </c>
      <c r="F11" t="s">
        <v>157</v>
      </c>
      <c r="G11" t="s">
        <v>158</v>
      </c>
      <c r="H11" t="b">
        <v>1</v>
      </c>
      <c r="I11" t="str">
        <f t="shared" si="0"/>
        <v>Actual/360</v>
      </c>
      <c r="M11">
        <f t="shared" si="1"/>
        <v>10</v>
      </c>
      <c r="P11" t="s">
        <v>139</v>
      </c>
    </row>
    <row r="12" spans="1:16" x14ac:dyDescent="0.25">
      <c r="A12" s="9" t="str">
        <f t="array" ref="A12">_xll.qlDepositRateHelper2(B12,C12,D12,E12,F12,G12,H12,I12)</f>
        <v>OIS5 Months#0000</v>
      </c>
      <c r="B12" t="str">
        <f>"OIS"&amp;'1_DatiInput_Eonia'!A12</f>
        <v>OIS5 Months</v>
      </c>
      <c r="C12" s="20">
        <f>'1_DatiInput_Eonia'!N12/100</f>
        <v>-3.5299999999999997E-3</v>
      </c>
      <c r="D12" t="s">
        <v>186</v>
      </c>
      <c r="E12">
        <f t="shared" si="2"/>
        <v>2</v>
      </c>
      <c r="F12" t="s">
        <v>157</v>
      </c>
      <c r="G12" t="s">
        <v>158</v>
      </c>
      <c r="H12" t="b">
        <v>1</v>
      </c>
      <c r="I12" t="str">
        <f t="shared" si="0"/>
        <v>Actual/360</v>
      </c>
      <c r="M12">
        <f t="shared" si="1"/>
        <v>11</v>
      </c>
      <c r="P12" t="s">
        <v>140</v>
      </c>
    </row>
    <row r="13" spans="1:16" x14ac:dyDescent="0.25">
      <c r="A13" s="9" t="str">
        <f t="array" ref="A13">_xll.qlDepositRateHelper2(B13,C13,D13,E13,F13,G13,H13,I13)</f>
        <v>OIS6 Months#0000</v>
      </c>
      <c r="B13" t="str">
        <f>"OIS"&amp;'1_DatiInput_Eonia'!A13</f>
        <v>OIS6 Months</v>
      </c>
      <c r="C13" s="20">
        <f>'1_DatiInput_Eonia'!N13/100</f>
        <v>-3.5299999999999997E-3</v>
      </c>
      <c r="D13" t="s">
        <v>187</v>
      </c>
      <c r="E13">
        <f t="shared" si="2"/>
        <v>2</v>
      </c>
      <c r="F13" t="s">
        <v>157</v>
      </c>
      <c r="G13" t="s">
        <v>158</v>
      </c>
      <c r="H13" t="b">
        <v>1</v>
      </c>
      <c r="I13" t="str">
        <f t="shared" si="0"/>
        <v>Actual/360</v>
      </c>
      <c r="M13">
        <f t="shared" si="1"/>
        <v>12</v>
      </c>
      <c r="P13" t="s">
        <v>111</v>
      </c>
    </row>
    <row r="14" spans="1:16" x14ac:dyDescent="0.25">
      <c r="A14" s="9" t="str">
        <f t="array" ref="A14">_xll.qlDepositRateHelper2(B14,C14,D14,E14,F14,G14,H14,I14)</f>
        <v>OIS7 Months#0000</v>
      </c>
      <c r="B14" t="str">
        <f>"OIS"&amp;'1_DatiInput_Eonia'!A14</f>
        <v>OIS7 Months</v>
      </c>
      <c r="C14" s="20">
        <f>'1_DatiInput_Eonia'!N14/100</f>
        <v>-3.5399999999999997E-3</v>
      </c>
      <c r="D14" t="s">
        <v>188</v>
      </c>
      <c r="E14">
        <f t="shared" si="2"/>
        <v>2</v>
      </c>
      <c r="F14" t="s">
        <v>157</v>
      </c>
      <c r="G14" t="s">
        <v>158</v>
      </c>
      <c r="H14" t="b">
        <v>1</v>
      </c>
      <c r="I14" t="str">
        <f t="shared" si="0"/>
        <v>Actual/360</v>
      </c>
      <c r="M14">
        <f t="shared" si="1"/>
        <v>13</v>
      </c>
      <c r="P14" t="s">
        <v>112</v>
      </c>
    </row>
    <row r="15" spans="1:16" x14ac:dyDescent="0.25">
      <c r="A15" s="9" t="str">
        <f t="array" ref="A15">_xll.qlDepositRateHelper2(B15,C15,D15,E15,F15,G15,H15,I15)</f>
        <v>OIS8 Months#0000</v>
      </c>
      <c r="B15" t="str">
        <f>"OIS"&amp;'1_DatiInput_Eonia'!A15</f>
        <v>OIS8 Months</v>
      </c>
      <c r="C15" s="20">
        <f>'1_DatiInput_Eonia'!N15/100</f>
        <v>-3.5399999999999997E-3</v>
      </c>
      <c r="D15" t="s">
        <v>189</v>
      </c>
      <c r="E15">
        <f t="shared" si="2"/>
        <v>2</v>
      </c>
      <c r="F15" t="s">
        <v>157</v>
      </c>
      <c r="G15" t="s">
        <v>158</v>
      </c>
      <c r="H15" t="b">
        <v>1</v>
      </c>
      <c r="I15" t="str">
        <f t="shared" si="0"/>
        <v>Actual/360</v>
      </c>
      <c r="M15">
        <f t="shared" si="1"/>
        <v>14</v>
      </c>
      <c r="P15" t="s">
        <v>113</v>
      </c>
    </row>
    <row r="16" spans="1:16" x14ac:dyDescent="0.25">
      <c r="A16" s="9" t="str">
        <f t="array" ref="A16">_xll.qlDepositRateHelper2(B16,C16,D16,E16,F16,G16,H16,I16)</f>
        <v>OIS9 Months#0000</v>
      </c>
      <c r="B16" t="str">
        <f>"OIS"&amp;'1_DatiInput_Eonia'!A16</f>
        <v>OIS9 Months</v>
      </c>
      <c r="C16" s="20">
        <f>'1_DatiInput_Eonia'!N16/100</f>
        <v>-3.5399999999999997E-3</v>
      </c>
      <c r="D16" t="s">
        <v>190</v>
      </c>
      <c r="E16">
        <f t="shared" si="2"/>
        <v>2</v>
      </c>
      <c r="F16" t="s">
        <v>157</v>
      </c>
      <c r="G16" t="s">
        <v>158</v>
      </c>
      <c r="H16" t="b">
        <v>1</v>
      </c>
      <c r="I16" t="str">
        <f t="shared" si="0"/>
        <v>Actual/360</v>
      </c>
      <c r="M16">
        <f t="shared" si="1"/>
        <v>15</v>
      </c>
    </row>
    <row r="17" spans="1:17" x14ac:dyDescent="0.25">
      <c r="A17" s="9" t="str">
        <f t="array" ref="A17">_xll.qlDepositRateHelper2(B17,C17,D17,E17,F17,G17,H17,I17)</f>
        <v>OIS10 Months#0000</v>
      </c>
      <c r="B17" t="str">
        <f>"OIS"&amp;'1_DatiInput_Eonia'!A17</f>
        <v>OIS10 Months</v>
      </c>
      <c r="C17" s="20">
        <f>'1_DatiInput_Eonia'!N17/100</f>
        <v>-3.5399999999999997E-3</v>
      </c>
      <c r="D17" t="s">
        <v>191</v>
      </c>
      <c r="E17">
        <f t="shared" si="2"/>
        <v>2</v>
      </c>
      <c r="F17" t="s">
        <v>157</v>
      </c>
      <c r="G17" t="s">
        <v>158</v>
      </c>
      <c r="H17" t="b">
        <v>1</v>
      </c>
      <c r="I17" t="str">
        <f t="shared" si="0"/>
        <v>Actual/360</v>
      </c>
      <c r="M17">
        <f t="shared" si="1"/>
        <v>16</v>
      </c>
      <c r="P17" t="s">
        <v>114</v>
      </c>
    </row>
    <row r="18" spans="1:17" x14ac:dyDescent="0.25">
      <c r="A18" s="9" t="str">
        <f t="array" ref="A18">_xll.qlDepositRateHelper2(B18,C18,D18,E18,F18,G18,H18,I18)</f>
        <v>OIS11 Months#0000</v>
      </c>
      <c r="B18" t="str">
        <f>"OIS"&amp;'1_DatiInput_Eonia'!A18</f>
        <v>OIS11 Months</v>
      </c>
      <c r="C18" s="20">
        <f>'1_DatiInput_Eonia'!N18/100</f>
        <v>-3.5399999999999997E-3</v>
      </c>
      <c r="D18" t="s">
        <v>192</v>
      </c>
      <c r="E18">
        <f t="shared" si="2"/>
        <v>2</v>
      </c>
      <c r="F18" t="s">
        <v>157</v>
      </c>
      <c r="G18" t="s">
        <v>158</v>
      </c>
      <c r="H18" t="b">
        <v>1</v>
      </c>
      <c r="I18" t="str">
        <f t="shared" si="0"/>
        <v>Actual/360</v>
      </c>
      <c r="M18">
        <f t="shared" si="1"/>
        <v>17</v>
      </c>
    </row>
    <row r="19" spans="1:17" x14ac:dyDescent="0.25">
      <c r="A19" s="9" t="str">
        <f t="array" ref="A19">_xll.qlDepositRateHelper2(B19,C19,D19,E19,F19,G19,H19,I19)</f>
        <v>OIS1 Year#0000</v>
      </c>
      <c r="B19" t="str">
        <f>"OIS"&amp;'1_DatiInput_Eonia'!A19</f>
        <v>OIS1 Year</v>
      </c>
      <c r="C19" s="20">
        <f>'1_DatiInput_Eonia'!N19/100</f>
        <v>-3.5399999999999997E-3</v>
      </c>
      <c r="D19" t="s">
        <v>193</v>
      </c>
      <c r="E19">
        <f t="shared" si="2"/>
        <v>2</v>
      </c>
      <c r="F19" t="s">
        <v>157</v>
      </c>
      <c r="G19" t="s">
        <v>158</v>
      </c>
      <c r="H19" t="b">
        <v>1</v>
      </c>
      <c r="I19" t="str">
        <f t="shared" si="0"/>
        <v>Actual/360</v>
      </c>
      <c r="M19">
        <f t="shared" ref="M19" si="3">+M18+1</f>
        <v>18</v>
      </c>
      <c r="P19" t="s">
        <v>141</v>
      </c>
    </row>
    <row r="21" spans="1:17" x14ac:dyDescent="0.25">
      <c r="P21" t="s">
        <v>116</v>
      </c>
    </row>
    <row r="23" spans="1:17" x14ac:dyDescent="0.25">
      <c r="P23" t="s">
        <v>117</v>
      </c>
    </row>
    <row r="25" spans="1:17" x14ac:dyDescent="0.25">
      <c r="P25" t="s">
        <v>118</v>
      </c>
    </row>
    <row r="26" spans="1:17" ht="60" x14ac:dyDescent="0.25">
      <c r="P26" s="14" t="s">
        <v>119</v>
      </c>
      <c r="Q26" s="14" t="s">
        <v>120</v>
      </c>
    </row>
    <row r="27" spans="1:17" ht="30" x14ac:dyDescent="0.25">
      <c r="P27" s="14" t="s">
        <v>142</v>
      </c>
      <c r="Q27" s="14" t="s">
        <v>143</v>
      </c>
    </row>
    <row r="28" spans="1:17" ht="75" x14ac:dyDescent="0.25">
      <c r="P28" s="14" t="s">
        <v>144</v>
      </c>
      <c r="Q28" s="14" t="s">
        <v>145</v>
      </c>
    </row>
    <row r="29" spans="1:17" ht="45" x14ac:dyDescent="0.25">
      <c r="P29" s="14" t="s">
        <v>146</v>
      </c>
      <c r="Q29" s="14" t="s">
        <v>147</v>
      </c>
    </row>
    <row r="30" spans="1:17" ht="60" x14ac:dyDescent="0.25">
      <c r="P30" s="14" t="s">
        <v>148</v>
      </c>
      <c r="Q30" s="14" t="s">
        <v>149</v>
      </c>
    </row>
    <row r="31" spans="1:17" ht="105" x14ac:dyDescent="0.25">
      <c r="P31" s="14" t="s">
        <v>150</v>
      </c>
      <c r="Q31" s="14" t="s">
        <v>151</v>
      </c>
    </row>
    <row r="32" spans="1:17" ht="195" x14ac:dyDescent="0.25">
      <c r="P32" s="14" t="s">
        <v>152</v>
      </c>
      <c r="Q32" s="14" t="s">
        <v>153</v>
      </c>
    </row>
    <row r="33" spans="16:17" ht="30" x14ac:dyDescent="0.25">
      <c r="P33" s="14" t="s">
        <v>154</v>
      </c>
      <c r="Q33" s="14" t="s">
        <v>155</v>
      </c>
    </row>
    <row r="34" spans="16:17" ht="75" x14ac:dyDescent="0.25">
      <c r="P34" s="14" t="s">
        <v>123</v>
      </c>
      <c r="Q34" s="14" t="s">
        <v>124</v>
      </c>
    </row>
    <row r="35" spans="16:17" ht="60" x14ac:dyDescent="0.25">
      <c r="P35" s="14" t="s">
        <v>125</v>
      </c>
      <c r="Q35" s="14" t="s">
        <v>126</v>
      </c>
    </row>
    <row r="36" spans="16:17" ht="30" x14ac:dyDescent="0.25">
      <c r="P36" s="14" t="s">
        <v>127</v>
      </c>
      <c r="Q36" s="14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showGridLines="0" workbookViewId="0">
      <selection activeCell="G21" sqref="G21"/>
    </sheetView>
  </sheetViews>
  <sheetFormatPr defaultRowHeight="15" x14ac:dyDescent="0.25"/>
  <cols>
    <col min="1" max="1" width="18.140625" bestFit="1" customWidth="1"/>
    <col min="2" max="2" width="9.7109375" customWidth="1"/>
    <col min="3" max="3" width="9.85546875" style="16" bestFit="1" customWidth="1"/>
    <col min="7" max="7" width="29.42578125" customWidth="1"/>
    <col min="8" max="8" width="12.42578125" bestFit="1" customWidth="1"/>
    <col min="9" max="9" width="11.42578125" bestFit="1" customWidth="1"/>
    <col min="10" max="10" width="10.85546875" bestFit="1" customWidth="1"/>
    <col min="16" max="16" width="27.140625" customWidth="1"/>
  </cols>
  <sheetData>
    <row r="1" spans="1:18" x14ac:dyDescent="0.25">
      <c r="A1" s="51" t="s">
        <v>162</v>
      </c>
      <c r="B1" s="51" t="s">
        <v>130</v>
      </c>
      <c r="C1" s="52" t="s">
        <v>142</v>
      </c>
      <c r="D1" s="51" t="s">
        <v>144</v>
      </c>
      <c r="E1" s="51" t="s">
        <v>146</v>
      </c>
      <c r="F1" s="51" t="s">
        <v>148</v>
      </c>
      <c r="G1" s="51" t="s">
        <v>150</v>
      </c>
      <c r="H1" s="51" t="s">
        <v>152</v>
      </c>
      <c r="I1" s="51" t="s">
        <v>154</v>
      </c>
      <c r="J1" s="51" t="s">
        <v>123</v>
      </c>
      <c r="K1" s="51" t="s">
        <v>125</v>
      </c>
      <c r="L1" s="51" t="s">
        <v>127</v>
      </c>
      <c r="M1" s="51" t="s">
        <v>160</v>
      </c>
      <c r="P1" s="13" t="s">
        <v>132</v>
      </c>
      <c r="R1" s="13" t="s">
        <v>420</v>
      </c>
    </row>
    <row r="2" spans="1:18" x14ac:dyDescent="0.25">
      <c r="A2" s="27" t="str">
        <f t="array" ref="A2">_xll.qlDepositRateHelper2(B2,C2,D2,E2,F2,G2,H2,I2)</f>
        <v>SW6_6M#0000</v>
      </c>
      <c r="B2" s="11" t="s">
        <v>419</v>
      </c>
      <c r="C2" s="42">
        <f>+'1.DatiInput_Swap6M'!O2/100</f>
        <v>-2.3799999999999997E-3</v>
      </c>
      <c r="D2" s="11" t="s">
        <v>187</v>
      </c>
      <c r="E2" s="11">
        <v>2</v>
      </c>
      <c r="F2" s="11" t="s">
        <v>157</v>
      </c>
      <c r="G2" s="11" t="s">
        <v>158</v>
      </c>
      <c r="H2" s="11" t="b">
        <v>1</v>
      </c>
      <c r="I2" s="11" t="s">
        <v>159</v>
      </c>
      <c r="J2" s="11"/>
      <c r="K2" s="11"/>
      <c r="L2" s="11"/>
      <c r="M2" s="11">
        <v>1</v>
      </c>
    </row>
    <row r="3" spans="1:18" s="49" customFormat="1" x14ac:dyDescent="0.25">
      <c r="C3" s="50"/>
      <c r="P3" s="49" t="s">
        <v>107</v>
      </c>
    </row>
    <row r="4" spans="1:18" s="49" customFormat="1" x14ac:dyDescent="0.25">
      <c r="C4" s="50"/>
      <c r="P4" s="49" t="s">
        <v>133</v>
      </c>
    </row>
    <row r="5" spans="1:18" s="49" customFormat="1" x14ac:dyDescent="0.25">
      <c r="C5" s="50"/>
      <c r="P5" s="49" t="s">
        <v>109</v>
      </c>
    </row>
    <row r="6" spans="1:18" s="49" customFormat="1" x14ac:dyDescent="0.25">
      <c r="C6" s="50"/>
      <c r="P6" s="49" t="s">
        <v>134</v>
      </c>
    </row>
    <row r="7" spans="1:18" s="49" customFormat="1" x14ac:dyDescent="0.25">
      <c r="C7" s="50"/>
      <c r="P7" s="49" t="s">
        <v>135</v>
      </c>
    </row>
    <row r="8" spans="1:18" s="49" customFormat="1" x14ac:dyDescent="0.25">
      <c r="C8" s="50"/>
      <c r="P8" s="49" t="s">
        <v>136</v>
      </c>
    </row>
    <row r="9" spans="1:18" s="49" customFormat="1" x14ac:dyDescent="0.25">
      <c r="C9" s="50"/>
      <c r="P9" s="49" t="s">
        <v>137</v>
      </c>
    </row>
    <row r="10" spans="1:18" s="49" customFormat="1" x14ac:dyDescent="0.25">
      <c r="C10" s="50"/>
      <c r="P10" s="49" t="s">
        <v>138</v>
      </c>
    </row>
    <row r="11" spans="1:18" s="49" customFormat="1" x14ac:dyDescent="0.25">
      <c r="C11" s="50"/>
      <c r="P11" s="49" t="s">
        <v>139</v>
      </c>
    </row>
    <row r="12" spans="1:18" s="49" customFormat="1" x14ac:dyDescent="0.25">
      <c r="C12" s="50"/>
      <c r="P12" s="49" t="s">
        <v>140</v>
      </c>
    </row>
    <row r="13" spans="1:18" s="49" customFormat="1" x14ac:dyDescent="0.25">
      <c r="C13" s="50"/>
      <c r="P13" s="49" t="s">
        <v>111</v>
      </c>
    </row>
    <row r="14" spans="1:18" s="49" customFormat="1" x14ac:dyDescent="0.25">
      <c r="C14" s="50"/>
      <c r="P14" s="49" t="s">
        <v>112</v>
      </c>
    </row>
    <row r="15" spans="1:18" s="49" customFormat="1" x14ac:dyDescent="0.25">
      <c r="C15" s="50"/>
      <c r="P15" s="49" t="s">
        <v>113</v>
      </c>
    </row>
    <row r="16" spans="1:18" s="49" customFormat="1" x14ac:dyDescent="0.25">
      <c r="C16" s="50"/>
    </row>
    <row r="17" spans="3:17" s="49" customFormat="1" x14ac:dyDescent="0.25">
      <c r="C17" s="50"/>
      <c r="P17" s="49" t="s">
        <v>114</v>
      </c>
    </row>
    <row r="18" spans="3:17" s="49" customFormat="1" x14ac:dyDescent="0.25">
      <c r="C18" s="50"/>
    </row>
    <row r="19" spans="3:17" s="49" customFormat="1" x14ac:dyDescent="0.25">
      <c r="C19" s="50"/>
      <c r="P19" s="49" t="s">
        <v>141</v>
      </c>
    </row>
    <row r="21" spans="3:17" x14ac:dyDescent="0.25">
      <c r="P21" t="s">
        <v>116</v>
      </c>
    </row>
    <row r="23" spans="3:17" x14ac:dyDescent="0.25">
      <c r="P23" t="s">
        <v>117</v>
      </c>
    </row>
    <row r="25" spans="3:17" x14ac:dyDescent="0.25">
      <c r="P25" t="s">
        <v>118</v>
      </c>
    </row>
    <row r="26" spans="3:17" ht="60" x14ac:dyDescent="0.25">
      <c r="P26" s="14" t="s">
        <v>119</v>
      </c>
      <c r="Q26" s="14" t="s">
        <v>120</v>
      </c>
    </row>
    <row r="27" spans="3:17" ht="30" x14ac:dyDescent="0.25">
      <c r="P27" s="14" t="s">
        <v>142</v>
      </c>
      <c r="Q27" s="14" t="s">
        <v>143</v>
      </c>
    </row>
    <row r="28" spans="3:17" ht="75" x14ac:dyDescent="0.25">
      <c r="P28" s="14" t="s">
        <v>144</v>
      </c>
      <c r="Q28" s="14" t="s">
        <v>145</v>
      </c>
    </row>
    <row r="29" spans="3:17" ht="45" x14ac:dyDescent="0.25">
      <c r="P29" s="14" t="s">
        <v>146</v>
      </c>
      <c r="Q29" s="14" t="s">
        <v>147</v>
      </c>
    </row>
    <row r="30" spans="3:17" ht="60" x14ac:dyDescent="0.25">
      <c r="P30" s="14" t="s">
        <v>148</v>
      </c>
      <c r="Q30" s="14" t="s">
        <v>149</v>
      </c>
    </row>
    <row r="31" spans="3:17" ht="105" x14ac:dyDescent="0.25">
      <c r="P31" s="14" t="s">
        <v>150</v>
      </c>
      <c r="Q31" s="14" t="s">
        <v>151</v>
      </c>
    </row>
    <row r="32" spans="3:17" ht="195" x14ac:dyDescent="0.25">
      <c r="P32" s="14" t="s">
        <v>152</v>
      </c>
      <c r="Q32" s="14" t="s">
        <v>153</v>
      </c>
    </row>
    <row r="33" spans="16:17" ht="30" x14ac:dyDescent="0.25">
      <c r="P33" s="14" t="s">
        <v>154</v>
      </c>
      <c r="Q33" s="14" t="s">
        <v>155</v>
      </c>
    </row>
    <row r="34" spans="16:17" ht="75" x14ac:dyDescent="0.25">
      <c r="P34" s="14" t="s">
        <v>123</v>
      </c>
      <c r="Q34" s="14" t="s">
        <v>124</v>
      </c>
    </row>
    <row r="35" spans="16:17" ht="60" x14ac:dyDescent="0.25">
      <c r="P35" s="14" t="s">
        <v>125</v>
      </c>
      <c r="Q35" s="14" t="s">
        <v>126</v>
      </c>
    </row>
    <row r="36" spans="16:17" ht="30" x14ac:dyDescent="0.25">
      <c r="P36" s="14" t="s">
        <v>127</v>
      </c>
      <c r="Q36" s="14" t="s">
        <v>128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27"/>
  <sheetViews>
    <sheetView showGridLines="0" zoomScale="70" zoomScaleNormal="70" workbookViewId="0">
      <selection activeCell="I43" sqref="I43"/>
    </sheetView>
  </sheetViews>
  <sheetFormatPr defaultColWidth="40.7109375" defaultRowHeight="15" x14ac:dyDescent="0.25"/>
  <cols>
    <col min="1" max="3" width="50" customWidth="1"/>
    <col min="4" max="4" width="31.85546875" customWidth="1"/>
    <col min="5" max="5" width="13.140625" bestFit="1" customWidth="1"/>
    <col min="6" max="6" width="16.140625" bestFit="1" customWidth="1"/>
    <col min="7" max="7" width="6.140625" bestFit="1" customWidth="1"/>
    <col min="8" max="8" width="11.7109375" customWidth="1"/>
    <col min="9" max="9" width="12" customWidth="1"/>
    <col min="10" max="10" width="15.140625" customWidth="1"/>
    <col min="11" max="11" width="9.42578125" customWidth="1"/>
    <col min="12" max="12" width="13.42578125" customWidth="1"/>
    <col min="13" max="13" width="9.85546875" customWidth="1"/>
    <col min="14" max="14" width="16" customWidth="1"/>
    <col min="15" max="15" width="13.140625" customWidth="1"/>
    <col min="16" max="16" width="8.28515625" customWidth="1"/>
    <col min="17" max="17" width="12.5703125" customWidth="1"/>
    <col min="18" max="18" width="21.5703125" bestFit="1" customWidth="1"/>
    <col min="19" max="19" width="41" bestFit="1" customWidth="1"/>
    <col min="20" max="20" width="34.85546875" bestFit="1" customWidth="1"/>
    <col min="21" max="21" width="12" bestFit="1" customWidth="1"/>
    <col min="22" max="22" width="10" bestFit="1" customWidth="1"/>
    <col min="23" max="23" width="16.42578125" bestFit="1" customWidth="1"/>
    <col min="24" max="24" width="13.5703125" bestFit="1" customWidth="1"/>
    <col min="25" max="25" width="29.28515625" bestFit="1" customWidth="1"/>
    <col min="26" max="26" width="10" bestFit="1" customWidth="1"/>
    <col min="27" max="27" width="12.5703125" bestFit="1" customWidth="1"/>
    <col min="28" max="28" width="14" bestFit="1" customWidth="1"/>
    <col min="29" max="29" width="12.85546875" bestFit="1" customWidth="1"/>
    <col min="30" max="30" width="11.5703125" bestFit="1" customWidth="1"/>
    <col min="31" max="31" width="18.5703125" bestFit="1" customWidth="1"/>
    <col min="32" max="32" width="11.7109375" bestFit="1" customWidth="1"/>
    <col min="33" max="33" width="7.85546875" bestFit="1" customWidth="1"/>
    <col min="34" max="34" width="10.140625" bestFit="1" customWidth="1"/>
  </cols>
  <sheetData>
    <row r="1" spans="1:43" x14ac:dyDescent="0.25">
      <c r="A1" s="64" t="s">
        <v>574</v>
      </c>
      <c r="C1" s="41" t="s">
        <v>573</v>
      </c>
      <c r="D1" s="11" t="s">
        <v>119</v>
      </c>
      <c r="E1" s="11" t="s">
        <v>554</v>
      </c>
      <c r="F1" s="11" t="s">
        <v>556</v>
      </c>
      <c r="G1" s="11" t="s">
        <v>144</v>
      </c>
      <c r="H1" s="11" t="s">
        <v>148</v>
      </c>
      <c r="I1" s="41" t="s">
        <v>150</v>
      </c>
      <c r="J1" s="11" t="s">
        <v>561</v>
      </c>
      <c r="K1" s="11" t="s">
        <v>563</v>
      </c>
      <c r="L1" s="11" t="s">
        <v>152</v>
      </c>
      <c r="M1" s="11" t="s">
        <v>566</v>
      </c>
      <c r="N1" s="11" t="s">
        <v>568</v>
      </c>
      <c r="O1" s="11" t="s">
        <v>123</v>
      </c>
      <c r="P1" s="11" t="s">
        <v>125</v>
      </c>
      <c r="Q1" s="11" t="s">
        <v>127</v>
      </c>
      <c r="R1" s="62" t="s">
        <v>570</v>
      </c>
      <c r="S1" s="66" t="s">
        <v>610</v>
      </c>
      <c r="T1" s="11" t="s">
        <v>119</v>
      </c>
      <c r="U1" s="11" t="s">
        <v>0</v>
      </c>
      <c r="V1" s="11" t="s">
        <v>591</v>
      </c>
      <c r="W1" s="11" t="s">
        <v>593</v>
      </c>
      <c r="X1" s="11" t="s">
        <v>595</v>
      </c>
      <c r="Y1" s="11" t="s">
        <v>597</v>
      </c>
      <c r="Z1" s="11" t="s">
        <v>599</v>
      </c>
      <c r="AA1" s="11" t="s">
        <v>154</v>
      </c>
      <c r="AB1" s="11" t="s">
        <v>602</v>
      </c>
      <c r="AC1" s="11" t="s">
        <v>604</v>
      </c>
      <c r="AD1" s="11" t="s">
        <v>606</v>
      </c>
      <c r="AE1" s="11" t="s">
        <v>608</v>
      </c>
      <c r="AF1" s="11" t="s">
        <v>123</v>
      </c>
      <c r="AG1" s="11" t="s">
        <v>125</v>
      </c>
      <c r="AH1" s="11" t="s">
        <v>127</v>
      </c>
      <c r="AI1" s="11" t="s">
        <v>612</v>
      </c>
      <c r="AJ1" s="71" t="s">
        <v>624</v>
      </c>
      <c r="AK1" s="11" t="s">
        <v>119</v>
      </c>
      <c r="AL1" s="11" t="s">
        <v>503</v>
      </c>
      <c r="AM1" s="11" t="s">
        <v>620</v>
      </c>
      <c r="AN1" s="11" t="s">
        <v>622</v>
      </c>
      <c r="AO1" t="s">
        <v>123</v>
      </c>
      <c r="AP1" t="s">
        <v>125</v>
      </c>
      <c r="AQ1" t="s">
        <v>127</v>
      </c>
    </row>
    <row r="2" spans="1:43" x14ac:dyDescent="0.25">
      <c r="C2" s="27" t="str">
        <f>_xll.qlSchedule(D2,E2,F2,G2,H2,I2,J2,K2,L2)</f>
        <v>BOTS 0 10/13/2017#0000</v>
      </c>
      <c r="D2" s="11" t="str">
        <f>+'1.DatiInputGVT'!A2</f>
        <v>BOTS 0 10/13/2017</v>
      </c>
      <c r="E2" s="18">
        <f>'3.DataAnalisi'!$A$1</f>
        <v>42790</v>
      </c>
      <c r="F2" s="18">
        <f>+'1.DatiInputGVT'!C2</f>
        <v>43021</v>
      </c>
      <c r="G2" s="11" t="str">
        <f>IF(R2="BOT",F2-E2&amp;"D","6M")</f>
        <v>231D</v>
      </c>
      <c r="H2" s="11" t="s">
        <v>157</v>
      </c>
      <c r="I2" s="63" t="s">
        <v>571</v>
      </c>
      <c r="J2" s="63" t="str">
        <f>+I2</f>
        <v>Unadjusted</v>
      </c>
      <c r="K2" s="63" t="s">
        <v>572</v>
      </c>
      <c r="L2" s="63" t="b">
        <v>0</v>
      </c>
      <c r="M2" s="11"/>
      <c r="N2" s="11"/>
      <c r="O2" s="11"/>
      <c r="P2" s="11"/>
      <c r="Q2" s="11"/>
      <c r="R2" s="62" t="str">
        <f>IF(LEFT(D2,2)="BO","BOT","BTP")</f>
        <v>BOT</v>
      </c>
      <c r="S2" s="66" t="str">
        <f>_xll.qlFixedRateBond(T2,U2,V2,W2,X2,Y2,Z2,AA2,AB2,AC2,AD2,AE2)</f>
        <v>BOT_BOTS 0 10/13/2017#0000</v>
      </c>
      <c r="T2" s="11" t="str">
        <f>+R2&amp;"_"&amp;C2</f>
        <v>BOT_BOTS 0 10/13/2017#0000</v>
      </c>
      <c r="U2" s="11"/>
      <c r="V2" s="11" t="s">
        <v>611</v>
      </c>
      <c r="W2" s="11">
        <v>2</v>
      </c>
      <c r="X2" s="11">
        <v>100</v>
      </c>
      <c r="Y2" s="11" t="str">
        <f>+C2</f>
        <v>BOTS 0 10/13/2017#0000</v>
      </c>
      <c r="Z2" s="67">
        <f>IF(R2="BOT",0,VLOOKUP(D2,'1.DatiInputGVT'!$A$1:$S$24,19,FALSE)/100)</f>
        <v>0</v>
      </c>
      <c r="AA2" s="11" t="str">
        <f>IF(R2="BOT","act/360","act/act")</f>
        <v>act/360</v>
      </c>
      <c r="AB2" s="11" t="s">
        <v>571</v>
      </c>
      <c r="AC2" s="11">
        <v>100</v>
      </c>
      <c r="AD2" s="18">
        <f>DATE(YEAR(F2)-AI2,MONTH(F2),DAY(F2))</f>
        <v>17453</v>
      </c>
      <c r="AE2" s="11" t="s">
        <v>157</v>
      </c>
      <c r="AF2" s="11"/>
      <c r="AG2" s="11"/>
      <c r="AH2" s="11"/>
      <c r="AI2" s="68">
        <f>70</f>
        <v>70</v>
      </c>
      <c r="AJ2" s="70" t="str">
        <f t="array" ref="AJ2">_xll.qlBondHelper(AK2,AL2,AM2,AN2)</f>
        <v>BOTS 0 10/13/2017BH#0000</v>
      </c>
      <c r="AK2" s="11" t="str">
        <f>D2&amp; "BH"</f>
        <v>BOTS 0 10/13/2017BH</v>
      </c>
      <c r="AL2" s="11">
        <f>'1.DatiInputGVT'!M2</f>
        <v>100.1935</v>
      </c>
      <c r="AM2" s="11" t="str">
        <f>+S2</f>
        <v>BOT_BOTS 0 10/13/2017#0000</v>
      </c>
      <c r="AN2" s="11" t="b">
        <v>1</v>
      </c>
    </row>
    <row r="3" spans="1:43" x14ac:dyDescent="0.25">
      <c r="C3" s="27" t="str">
        <f>_xll.qlSchedule(D3,E3,F3,G3,H3,I3,J3,K3,L3)</f>
        <v>BTPS 4 1/2 03/19#0000</v>
      </c>
      <c r="D3" s="11" t="str">
        <f>+'1.DatiInputGVT'!A3</f>
        <v>BTPS 4 1/2 03/19</v>
      </c>
      <c r="E3" s="18">
        <f>'3.DataAnalisi'!$A$1</f>
        <v>42790</v>
      </c>
      <c r="F3" s="18">
        <f>+'1.DatiInputGVT'!C3</f>
        <v>43525</v>
      </c>
      <c r="G3" s="11" t="str">
        <f t="shared" ref="G3:G9" si="0">IF(R3="BOT",F3-E3&amp;"D","6M")</f>
        <v>6M</v>
      </c>
      <c r="H3" s="11" t="s">
        <v>157</v>
      </c>
      <c r="I3" s="63" t="s">
        <v>571</v>
      </c>
      <c r="J3" s="63" t="str">
        <f t="shared" ref="J3:J9" si="1">+I3</f>
        <v>Unadjusted</v>
      </c>
      <c r="K3" s="63" t="s">
        <v>572</v>
      </c>
      <c r="L3" s="63" t="b">
        <v>0</v>
      </c>
      <c r="M3" s="11"/>
      <c r="N3" s="11"/>
      <c r="O3" s="11"/>
      <c r="P3" s="11"/>
      <c r="Q3" s="11"/>
      <c r="R3" s="62" t="str">
        <f t="shared" ref="R3:R9" si="2">IF(LEFT(D3,2)="BO","BOT","BTP")</f>
        <v>BTP</v>
      </c>
      <c r="S3" s="66" t="str">
        <f>_xll.qlFixedRateBond(T3,U3,V3,W3,X3,Y3,Z3,AA3,AB3,AC3,AD3,AE3)</f>
        <v>BTP_BTPS 4 1/2 03/19#0000</v>
      </c>
      <c r="T3" s="11" t="str">
        <f t="shared" ref="T3:T9" si="3">+R3&amp;"_"&amp;C3</f>
        <v>BTP_BTPS 4 1/2 03/19#0000</v>
      </c>
      <c r="U3" s="11"/>
      <c r="V3" s="11" t="s">
        <v>611</v>
      </c>
      <c r="W3" s="11">
        <v>2</v>
      </c>
      <c r="X3" s="11">
        <v>100</v>
      </c>
      <c r="Y3" s="11" t="str">
        <f t="shared" ref="Y3:Y9" si="4">+C3</f>
        <v>BTPS 4 1/2 03/19#0000</v>
      </c>
      <c r="Z3" s="67">
        <f>IF(R3="BOT",0,VLOOKUP(D3,'1.DatiInputGVT'!$A$1:$S$24,19,FALSE)/100)</f>
        <v>4.4999999999999998E-2</v>
      </c>
      <c r="AA3" s="11" t="str">
        <f t="shared" ref="AA3:AA9" si="5">IF(R3="BOT","act/360","act/act")</f>
        <v>act/act</v>
      </c>
      <c r="AB3" s="11" t="s">
        <v>571</v>
      </c>
      <c r="AC3" s="11">
        <f>+AC2</f>
        <v>100</v>
      </c>
      <c r="AD3" s="18">
        <f t="shared" ref="AD3:AD9" si="6">DATE(YEAR(F3)-AI3,MONTH(F3),DAY(F3))</f>
        <v>17958</v>
      </c>
      <c r="AE3" s="11" t="s">
        <v>157</v>
      </c>
      <c r="AF3" s="11"/>
      <c r="AG3" s="11"/>
      <c r="AH3" s="11"/>
      <c r="AI3" s="69">
        <f>+AI2</f>
        <v>70</v>
      </c>
      <c r="AJ3" s="70" t="str">
        <f t="array" ref="AJ3">_xll.qlBondHelper(AK3,AL3,AM3,AN3)</f>
        <v>BTPS 4 1/2 03/19BH#0000</v>
      </c>
      <c r="AK3" s="11" t="str">
        <f t="shared" ref="AK3:AK9" si="7">D3&amp; "BH"</f>
        <v>BTPS 4 1/2 03/19BH</v>
      </c>
      <c r="AL3" s="11">
        <f>'1.DatiInputGVT'!M3</f>
        <v>108.705</v>
      </c>
      <c r="AM3" s="11" t="str">
        <f t="shared" ref="AM3:AM9" si="8">+S3</f>
        <v>BTP_BTPS 4 1/2 03/19#0000</v>
      </c>
      <c r="AN3" s="11" t="b">
        <v>1</v>
      </c>
    </row>
    <row r="4" spans="1:43" x14ac:dyDescent="0.25">
      <c r="A4" t="s">
        <v>575</v>
      </c>
      <c r="C4" s="27" t="str">
        <f>_xll.qlSchedule(D4,E4,F4,G4,H4,I4,J4,K4,L4)</f>
        <v>BTPS 0.65 11/01/20#0000</v>
      </c>
      <c r="D4" s="11" t="str">
        <f>+'1.DatiInputGVT'!A4</f>
        <v>BTPS 0.65 11/01/20</v>
      </c>
      <c r="E4" s="18">
        <f>'3.DataAnalisi'!$A$1</f>
        <v>42790</v>
      </c>
      <c r="F4" s="18">
        <f>+'1.DatiInputGVT'!C4</f>
        <v>44136</v>
      </c>
      <c r="G4" s="11" t="str">
        <f t="shared" si="0"/>
        <v>6M</v>
      </c>
      <c r="H4" s="11" t="s">
        <v>157</v>
      </c>
      <c r="I4" s="63" t="s">
        <v>571</v>
      </c>
      <c r="J4" s="63" t="str">
        <f t="shared" si="1"/>
        <v>Unadjusted</v>
      </c>
      <c r="K4" s="63" t="s">
        <v>572</v>
      </c>
      <c r="L4" s="63" t="b">
        <v>0</v>
      </c>
      <c r="M4" s="11"/>
      <c r="N4" s="11"/>
      <c r="O4" s="11"/>
      <c r="P4" s="11"/>
      <c r="Q4" s="11"/>
      <c r="R4" s="62" t="str">
        <f t="shared" si="2"/>
        <v>BTP</v>
      </c>
      <c r="S4" s="66" t="str">
        <f>_xll.qlFixedRateBond(T4,U4,V4,W4,X4,Y4,Z4,AA4,AB4,AC4,AD4,AE4)</f>
        <v>BTP_BTPS 0.65 11/01/20#0000</v>
      </c>
      <c r="T4" s="11" t="str">
        <f t="shared" si="3"/>
        <v>BTP_BTPS 0.65 11/01/20#0000</v>
      </c>
      <c r="U4" s="11"/>
      <c r="V4" s="11" t="s">
        <v>611</v>
      </c>
      <c r="W4" s="11">
        <v>2</v>
      </c>
      <c r="X4" s="11">
        <v>100</v>
      </c>
      <c r="Y4" s="11" t="str">
        <f t="shared" si="4"/>
        <v>BTPS 0.65 11/01/20#0000</v>
      </c>
      <c r="Z4" s="67">
        <f>IF(R4="BOT",0,VLOOKUP(D4,'1.DatiInputGVT'!$A$1:$S$24,19,FALSE)/100)</f>
        <v>6.5000000000000006E-3</v>
      </c>
      <c r="AA4" s="11" t="str">
        <f t="shared" si="5"/>
        <v>act/act</v>
      </c>
      <c r="AB4" s="11" t="s">
        <v>571</v>
      </c>
      <c r="AC4" s="11">
        <f t="shared" ref="AC4:AC24" si="9">+AC3</f>
        <v>100</v>
      </c>
      <c r="AD4" s="18">
        <f t="shared" si="6"/>
        <v>18568</v>
      </c>
      <c r="AE4" s="11" t="s">
        <v>157</v>
      </c>
      <c r="AF4" s="11"/>
      <c r="AG4" s="11"/>
      <c r="AH4" s="11"/>
      <c r="AI4" s="69">
        <f t="shared" ref="AI4:AI24" si="10">+AI3</f>
        <v>70</v>
      </c>
      <c r="AJ4" s="70" t="str">
        <f t="array" ref="AJ4">_xll.qlBondHelper(AK4,AL4,AM4,AN4)</f>
        <v>BTPS 0.65 11/01/20BH#0000</v>
      </c>
      <c r="AK4" s="11" t="str">
        <f t="shared" si="7"/>
        <v>BTPS 0.65 11/01/20BH</v>
      </c>
      <c r="AL4" s="11">
        <f>'1.DatiInputGVT'!M4</f>
        <v>100.355</v>
      </c>
      <c r="AM4" s="11" t="str">
        <f t="shared" si="8"/>
        <v>BTP_BTPS 0.65 11/01/20#0000</v>
      </c>
      <c r="AN4" s="11" t="b">
        <v>1</v>
      </c>
    </row>
    <row r="5" spans="1:43" x14ac:dyDescent="0.25">
      <c r="A5" s="13" t="s">
        <v>545</v>
      </c>
      <c r="B5" s="13"/>
      <c r="C5" s="27" t="str">
        <f>_xll.qlSchedule(D5,E5,F5,G5,H5,I5,J5,K5,L5)</f>
        <v>BTPS 2.15 12/21#0000</v>
      </c>
      <c r="D5" s="11" t="str">
        <f>+'1.DatiInputGVT'!A5</f>
        <v>BTPS 2.15 12/21</v>
      </c>
      <c r="E5" s="18">
        <f>'3.DataAnalisi'!$A$1</f>
        <v>42790</v>
      </c>
      <c r="F5" s="18">
        <f>+'1.DatiInputGVT'!C5</f>
        <v>44545</v>
      </c>
      <c r="G5" s="11" t="str">
        <f t="shared" si="0"/>
        <v>6M</v>
      </c>
      <c r="H5" s="11" t="s">
        <v>157</v>
      </c>
      <c r="I5" s="63" t="s">
        <v>571</v>
      </c>
      <c r="J5" s="63" t="str">
        <f t="shared" si="1"/>
        <v>Unadjusted</v>
      </c>
      <c r="K5" s="63" t="s">
        <v>572</v>
      </c>
      <c r="L5" s="63" t="b">
        <v>0</v>
      </c>
      <c r="M5" s="11"/>
      <c r="N5" s="11"/>
      <c r="O5" s="11"/>
      <c r="P5" s="11"/>
      <c r="Q5" s="11"/>
      <c r="R5" s="62" t="str">
        <f t="shared" si="2"/>
        <v>BTP</v>
      </c>
      <c r="S5" s="66" t="str">
        <f>_xll.qlFixedRateBond(T5,U5,V5,W5,X5,Y5,Z5,AA5,AB5,AC5,AD5,AE5)</f>
        <v>BTP_BTPS 2.15 12/21#0000</v>
      </c>
      <c r="T5" s="11" t="str">
        <f t="shared" si="3"/>
        <v>BTP_BTPS 2.15 12/21#0000</v>
      </c>
      <c r="U5" s="11"/>
      <c r="V5" s="11" t="s">
        <v>611</v>
      </c>
      <c r="W5" s="11">
        <v>2</v>
      </c>
      <c r="X5" s="11">
        <v>100</v>
      </c>
      <c r="Y5" s="11" t="str">
        <f t="shared" si="4"/>
        <v>BTPS 2.15 12/21#0000</v>
      </c>
      <c r="Z5" s="67">
        <f>IF(R5="BOT",0,VLOOKUP(D5,'1.DatiInputGVT'!$A$1:$S$24,19,FALSE)/100)</f>
        <v>2.1499999999999998E-2</v>
      </c>
      <c r="AA5" s="11" t="str">
        <f t="shared" si="5"/>
        <v>act/act</v>
      </c>
      <c r="AB5" s="11" t="s">
        <v>571</v>
      </c>
      <c r="AC5" s="11">
        <f t="shared" si="9"/>
        <v>100</v>
      </c>
      <c r="AD5" s="18">
        <f t="shared" si="6"/>
        <v>18977</v>
      </c>
      <c r="AE5" s="11" t="s">
        <v>157</v>
      </c>
      <c r="AF5" s="11"/>
      <c r="AG5" s="11"/>
      <c r="AH5" s="11"/>
      <c r="AI5" s="69">
        <f t="shared" si="10"/>
        <v>70</v>
      </c>
      <c r="AJ5" s="70" t="str">
        <f t="array" ref="AJ5">_xll.qlBondHelper(AK5,AL5,AM5,AN5)</f>
        <v>BTPS 2.15 12/21BH#0000</v>
      </c>
      <c r="AK5" s="11" t="str">
        <f t="shared" si="7"/>
        <v>BTPS 2.15 12/21BH</v>
      </c>
      <c r="AL5" s="11">
        <f>'1.DatiInputGVT'!M5</f>
        <v>105.26</v>
      </c>
      <c r="AM5" s="11" t="str">
        <f t="shared" si="8"/>
        <v>BTP_BTPS 2.15 12/21#0000</v>
      </c>
      <c r="AN5" s="11" t="b">
        <v>1</v>
      </c>
    </row>
    <row r="6" spans="1:43" x14ac:dyDescent="0.25">
      <c r="C6" s="27" t="str">
        <f>_xll.qlSchedule(D6,E6,F6,G6,H6,I6,J6,K6,L6)</f>
        <v>BTPS 1.35% 04/22#0000</v>
      </c>
      <c r="D6" s="11" t="str">
        <f>+'1.DatiInputGVT'!A6</f>
        <v>BTPS 1.35% 04/22</v>
      </c>
      <c r="E6" s="18">
        <f>'3.DataAnalisi'!$A$1</f>
        <v>42790</v>
      </c>
      <c r="F6" s="18">
        <f>+'1.DatiInputGVT'!C6</f>
        <v>44666</v>
      </c>
      <c r="G6" s="11" t="str">
        <f t="shared" si="0"/>
        <v>6M</v>
      </c>
      <c r="H6" s="11" t="s">
        <v>157</v>
      </c>
      <c r="I6" s="63" t="s">
        <v>571</v>
      </c>
      <c r="J6" s="63" t="str">
        <f t="shared" si="1"/>
        <v>Unadjusted</v>
      </c>
      <c r="K6" s="63" t="s">
        <v>572</v>
      </c>
      <c r="L6" s="63" t="b">
        <v>0</v>
      </c>
      <c r="M6" s="11"/>
      <c r="N6" s="11"/>
      <c r="O6" s="11"/>
      <c r="P6" s="11"/>
      <c r="Q6" s="11"/>
      <c r="R6" s="62" t="str">
        <f t="shared" si="2"/>
        <v>BTP</v>
      </c>
      <c r="S6" s="66" t="str">
        <f>_xll.qlFixedRateBond(T6,U6,V6,W6,X6,Y6,Z6,AA6,AB6,AC6,AD6,AE6)</f>
        <v>BTP_BTPS 1.35% 04/22#0000</v>
      </c>
      <c r="T6" s="11" t="str">
        <f t="shared" si="3"/>
        <v>BTP_BTPS 1.35% 04/22#0000</v>
      </c>
      <c r="U6" s="11"/>
      <c r="V6" s="11" t="s">
        <v>611</v>
      </c>
      <c r="W6" s="11">
        <v>2</v>
      </c>
      <c r="X6" s="11">
        <v>100</v>
      </c>
      <c r="Y6" s="11" t="str">
        <f t="shared" si="4"/>
        <v>BTPS 1.35% 04/22#0000</v>
      </c>
      <c r="Z6" s="67">
        <f>IF(R6="BOT",0,VLOOKUP(D6,'1.DatiInputGVT'!$A$1:$S$24,19,FALSE)/100)</f>
        <v>1.3500000000000002E-2</v>
      </c>
      <c r="AA6" s="11" t="str">
        <f t="shared" si="5"/>
        <v>act/act</v>
      </c>
      <c r="AB6" s="11" t="s">
        <v>571</v>
      </c>
      <c r="AC6" s="11">
        <f t="shared" si="9"/>
        <v>100</v>
      </c>
      <c r="AD6" s="18">
        <f t="shared" si="6"/>
        <v>19099</v>
      </c>
      <c r="AE6" s="11" t="s">
        <v>157</v>
      </c>
      <c r="AF6" s="11"/>
      <c r="AG6" s="11"/>
      <c r="AH6" s="11"/>
      <c r="AI6" s="69">
        <f t="shared" si="10"/>
        <v>70</v>
      </c>
      <c r="AJ6" s="70" t="str">
        <f t="array" ref="AJ6">_xll.qlBondHelper(AK6,AL6,AM6,AN6)</f>
        <v>BTPS 1.35% 04/22BH#0000</v>
      </c>
      <c r="AK6" s="11" t="str">
        <f t="shared" si="7"/>
        <v>BTPS 1.35% 04/22BH</v>
      </c>
      <c r="AL6" s="11">
        <f>'1.DatiInputGVT'!M6</f>
        <v>101.01</v>
      </c>
      <c r="AM6" s="11" t="str">
        <f t="shared" si="8"/>
        <v>BTP_BTPS 1.35% 04/22#0000</v>
      </c>
      <c r="AN6" s="11" t="b">
        <v>1</v>
      </c>
    </row>
    <row r="7" spans="1:43" x14ac:dyDescent="0.25">
      <c r="A7" t="s">
        <v>107</v>
      </c>
      <c r="C7" s="27" t="str">
        <f>_xll.qlSchedule(D7,E7,F7,G7,H7,I7,J7,K7,L7)</f>
        <v>BTPS 1.45 09/15/22#0000</v>
      </c>
      <c r="D7" s="11" t="str">
        <f>+'1.DatiInputGVT'!A7</f>
        <v>BTPS 1.45 09/15/22</v>
      </c>
      <c r="E7" s="18">
        <f>'3.DataAnalisi'!$A$1</f>
        <v>42790</v>
      </c>
      <c r="F7" s="18">
        <f>+'1.DatiInputGVT'!C7</f>
        <v>44819</v>
      </c>
      <c r="G7" s="11" t="str">
        <f t="shared" si="0"/>
        <v>6M</v>
      </c>
      <c r="H7" s="11" t="s">
        <v>157</v>
      </c>
      <c r="I7" s="63" t="s">
        <v>571</v>
      </c>
      <c r="J7" s="63" t="str">
        <f t="shared" si="1"/>
        <v>Unadjusted</v>
      </c>
      <c r="K7" s="63" t="s">
        <v>572</v>
      </c>
      <c r="L7" s="63" t="b">
        <v>0</v>
      </c>
      <c r="M7" s="11"/>
      <c r="N7" s="11"/>
      <c r="O7" s="11"/>
      <c r="P7" s="11"/>
      <c r="Q7" s="11"/>
      <c r="R7" s="62" t="str">
        <f t="shared" si="2"/>
        <v>BTP</v>
      </c>
      <c r="S7" s="66" t="str">
        <f>_xll.qlFixedRateBond(T7,U7,V7,W7,X7,Y7,Z7,AA7,AB7,AC7,AD7,AE7)</f>
        <v>BTP_BTPS 1.45 09/15/22#0000</v>
      </c>
      <c r="T7" s="11" t="str">
        <f t="shared" si="3"/>
        <v>BTP_BTPS 1.45 09/15/22#0000</v>
      </c>
      <c r="U7" s="11"/>
      <c r="V7" s="11" t="s">
        <v>611</v>
      </c>
      <c r="W7" s="11">
        <v>2</v>
      </c>
      <c r="X7" s="11">
        <v>100</v>
      </c>
      <c r="Y7" s="11" t="str">
        <f t="shared" si="4"/>
        <v>BTPS 1.45 09/15/22#0000</v>
      </c>
      <c r="Z7" s="67">
        <f>IF(R7="BOT",0,VLOOKUP(D7,'1.DatiInputGVT'!$A$1:$S$24,19,FALSE)/100)</f>
        <v>1.4499999999999999E-2</v>
      </c>
      <c r="AA7" s="11" t="str">
        <f t="shared" si="5"/>
        <v>act/act</v>
      </c>
      <c r="AB7" s="11" t="s">
        <v>571</v>
      </c>
      <c r="AC7" s="11">
        <f t="shared" si="9"/>
        <v>100</v>
      </c>
      <c r="AD7" s="18">
        <f t="shared" si="6"/>
        <v>19252</v>
      </c>
      <c r="AE7" s="11" t="s">
        <v>157</v>
      </c>
      <c r="AF7" s="11"/>
      <c r="AG7" s="11"/>
      <c r="AH7" s="11"/>
      <c r="AI7" s="69">
        <f t="shared" si="10"/>
        <v>70</v>
      </c>
      <c r="AJ7" s="70" t="str">
        <f t="array" ref="AJ7">_xll.qlBondHelper(AK7,AL7,AM7,AN7)</f>
        <v>BTPS 1.45 09/15/22BH#0000</v>
      </c>
      <c r="AK7" s="11" t="str">
        <f t="shared" si="7"/>
        <v>BTPS 1.45 09/15/22BH</v>
      </c>
      <c r="AL7" s="11">
        <f>'1.DatiInputGVT'!M7</f>
        <v>101.075</v>
      </c>
      <c r="AM7" s="11" t="str">
        <f t="shared" si="8"/>
        <v>BTP_BTPS 1.45 09/15/22#0000</v>
      </c>
      <c r="AN7" s="11" t="b">
        <v>1</v>
      </c>
    </row>
    <row r="8" spans="1:43" x14ac:dyDescent="0.25">
      <c r="A8" t="s">
        <v>546</v>
      </c>
      <c r="C8" s="27" t="str">
        <f>_xll.qlSchedule(D8,E8,F8,G8,H8,I8,J8,K8,L8)</f>
        <v>BTPS 4.5 5/1/2023#0000</v>
      </c>
      <c r="D8" s="11" t="str">
        <f>+'1.DatiInputGVT'!A8</f>
        <v>BTPS 4.5 5/1/2023</v>
      </c>
      <c r="E8" s="18">
        <f>'3.DataAnalisi'!$A$1</f>
        <v>42790</v>
      </c>
      <c r="F8" s="18">
        <f>+'1.DatiInputGVT'!C8</f>
        <v>45047</v>
      </c>
      <c r="G8" s="11" t="str">
        <f t="shared" si="0"/>
        <v>6M</v>
      </c>
      <c r="H8" s="11" t="s">
        <v>157</v>
      </c>
      <c r="I8" s="63" t="s">
        <v>571</v>
      </c>
      <c r="J8" s="63" t="str">
        <f t="shared" si="1"/>
        <v>Unadjusted</v>
      </c>
      <c r="K8" s="63" t="s">
        <v>572</v>
      </c>
      <c r="L8" s="63" t="b">
        <v>0</v>
      </c>
      <c r="M8" s="11"/>
      <c r="N8" s="11"/>
      <c r="O8" s="11"/>
      <c r="P8" s="11"/>
      <c r="Q8" s="11"/>
      <c r="R8" s="62" t="str">
        <f t="shared" si="2"/>
        <v>BTP</v>
      </c>
      <c r="S8" s="66" t="str">
        <f>_xll.qlFixedRateBond(T8,U8,V8,W8,X8,Y8,Z8,AA8,AB8,AC8,AD8,AE8)</f>
        <v>BTP_BTPS 4.5 5/1/2023#0000</v>
      </c>
      <c r="T8" s="11" t="str">
        <f t="shared" si="3"/>
        <v>BTP_BTPS 4.5 5/1/2023#0000</v>
      </c>
      <c r="U8" s="11"/>
      <c r="V8" s="11" t="s">
        <v>611</v>
      </c>
      <c r="W8" s="11">
        <v>2</v>
      </c>
      <c r="X8" s="11">
        <v>100</v>
      </c>
      <c r="Y8" s="11" t="str">
        <f t="shared" si="4"/>
        <v>BTPS 4.5 5/1/2023#0000</v>
      </c>
      <c r="Z8" s="67">
        <f>IF(R8="BOT",0,VLOOKUP(D8,'1.DatiInputGVT'!$A$1:$S$24,19,FALSE)/100)</f>
        <v>4.4999999999999998E-2</v>
      </c>
      <c r="AA8" s="11" t="str">
        <f t="shared" si="5"/>
        <v>act/act</v>
      </c>
      <c r="AB8" s="11" t="s">
        <v>571</v>
      </c>
      <c r="AC8" s="11">
        <f t="shared" si="9"/>
        <v>100</v>
      </c>
      <c r="AD8" s="18">
        <f t="shared" si="6"/>
        <v>19480</v>
      </c>
      <c r="AE8" s="11" t="s">
        <v>157</v>
      </c>
      <c r="AF8" s="11"/>
      <c r="AG8" s="11"/>
      <c r="AH8" s="11"/>
      <c r="AI8" s="69">
        <f t="shared" si="10"/>
        <v>70</v>
      </c>
      <c r="AJ8" s="70" t="str">
        <f t="array" ref="AJ8">_xll.qlBondHelper(AK8,AL8,AM8,AN8)</f>
        <v>BTPS 4.5 5/1/2023BH#0000</v>
      </c>
      <c r="AK8" s="11" t="str">
        <f t="shared" si="7"/>
        <v>BTPS 4.5 5/1/2023BH</v>
      </c>
      <c r="AL8" s="11">
        <f>'1.DatiInputGVT'!M8</f>
        <v>117.51</v>
      </c>
      <c r="AM8" s="11" t="str">
        <f t="shared" si="8"/>
        <v>BTP_BTPS 4.5 5/1/2023#0000</v>
      </c>
      <c r="AN8" s="11" t="b">
        <v>1</v>
      </c>
    </row>
    <row r="9" spans="1:43" x14ac:dyDescent="0.25">
      <c r="A9" t="s">
        <v>109</v>
      </c>
      <c r="C9" s="27" t="str">
        <f>_xll.qlSchedule(D9,E9,F9,G9,H9,I9,J9,K9,L9)</f>
        <v>BTPS 4 3/4 08/01/23#0000</v>
      </c>
      <c r="D9" s="11" t="str">
        <f>+'1.DatiInputGVT'!A9</f>
        <v>BTPS 4 3/4 08/01/23</v>
      </c>
      <c r="E9" s="18">
        <f>'3.DataAnalisi'!$A$1</f>
        <v>42790</v>
      </c>
      <c r="F9" s="18">
        <f>+'1.DatiInputGVT'!C9</f>
        <v>45139</v>
      </c>
      <c r="G9" s="11" t="str">
        <f t="shared" si="0"/>
        <v>6M</v>
      </c>
      <c r="H9" s="11" t="s">
        <v>157</v>
      </c>
      <c r="I9" s="63" t="s">
        <v>571</v>
      </c>
      <c r="J9" s="63" t="str">
        <f t="shared" si="1"/>
        <v>Unadjusted</v>
      </c>
      <c r="K9" s="63" t="s">
        <v>572</v>
      </c>
      <c r="L9" s="63" t="b">
        <v>0</v>
      </c>
      <c r="M9" s="11"/>
      <c r="N9" s="11"/>
      <c r="O9" s="11"/>
      <c r="P9" s="11"/>
      <c r="Q9" s="11"/>
      <c r="R9" s="62" t="str">
        <f t="shared" si="2"/>
        <v>BTP</v>
      </c>
      <c r="S9" s="66" t="str">
        <f>_xll.qlFixedRateBond(T9,U9,V9,W9,X9,Y9,Z9,AA9,AB9,AC9,AD9,AE9)</f>
        <v>BTP_BTPS 4 3/4 08/01/23#0000</v>
      </c>
      <c r="T9" s="11" t="str">
        <f t="shared" si="3"/>
        <v>BTP_BTPS 4 3/4 08/01/23#0000</v>
      </c>
      <c r="U9" s="11"/>
      <c r="V9" s="11" t="s">
        <v>611</v>
      </c>
      <c r="W9" s="11">
        <v>2</v>
      </c>
      <c r="X9" s="11">
        <v>100</v>
      </c>
      <c r="Y9" s="11" t="str">
        <f t="shared" si="4"/>
        <v>BTPS 4 3/4 08/01/23#0000</v>
      </c>
      <c r="Z9" s="67">
        <f>IF(R9="BOT",0,VLOOKUP(D9,'1.DatiInputGVT'!$A$1:$S$24,19,FALSE)/100)</f>
        <v>4.7500000000000001E-2</v>
      </c>
      <c r="AA9" s="11" t="str">
        <f t="shared" si="5"/>
        <v>act/act</v>
      </c>
      <c r="AB9" s="11" t="s">
        <v>571</v>
      </c>
      <c r="AC9" s="11">
        <f t="shared" si="9"/>
        <v>100</v>
      </c>
      <c r="AD9" s="18">
        <f t="shared" si="6"/>
        <v>19572</v>
      </c>
      <c r="AE9" s="11" t="s">
        <v>157</v>
      </c>
      <c r="AF9" s="11"/>
      <c r="AG9" s="11"/>
      <c r="AH9" s="11"/>
      <c r="AI9" s="69">
        <f t="shared" si="10"/>
        <v>70</v>
      </c>
      <c r="AJ9" s="70" t="str">
        <f t="array" ref="AJ9">_xll.qlBondHelper(AK9,AL9,AM9,AN9)</f>
        <v>BTPS 4 3/4 08/01/23BH#0000</v>
      </c>
      <c r="AK9" s="11" t="str">
        <f t="shared" si="7"/>
        <v>BTPS 4 3/4 08/01/23BH</v>
      </c>
      <c r="AL9" s="11">
        <f>'1.DatiInputGVT'!M9</f>
        <v>119.645</v>
      </c>
      <c r="AM9" s="11" t="str">
        <f t="shared" si="8"/>
        <v>BTP_BTPS 4 3/4 08/01/23#0000</v>
      </c>
      <c r="AN9" s="11" t="b">
        <v>1</v>
      </c>
    </row>
    <row r="10" spans="1:43" x14ac:dyDescent="0.25">
      <c r="A10" t="s">
        <v>547</v>
      </c>
      <c r="B10" t="str">
        <f>_xll.ohRangeRetrieveError(C10)</f>
        <v/>
      </c>
      <c r="C10" s="27" t="str">
        <f>_xll.qlSchedule(D10,E10,F10,G10,H10,I10,J10,K10,L10)</f>
        <v>BTPS 4.5 03/01/2024 #0000</v>
      </c>
      <c r="D10" s="11" t="str">
        <f>+'1.DatiInputGVT'!A10</f>
        <v xml:space="preserve">BTPS 4.5 03/01/2024 </v>
      </c>
      <c r="E10" s="18">
        <f>'3.DataAnalisi'!$A$1</f>
        <v>42790</v>
      </c>
      <c r="F10" s="18">
        <f>+'1.DatiInputGVT'!C10</f>
        <v>45352</v>
      </c>
      <c r="G10" s="11" t="str">
        <f t="shared" ref="G10:G24" si="11">IF(R10="BOT",F10-E10&amp;"D","6M")</f>
        <v>6M</v>
      </c>
      <c r="H10" s="11" t="s">
        <v>157</v>
      </c>
      <c r="I10" s="63" t="s">
        <v>571</v>
      </c>
      <c r="J10" s="63" t="str">
        <f t="shared" ref="J10:J24" si="12">+I10</f>
        <v>Unadjusted</v>
      </c>
      <c r="K10" s="63" t="s">
        <v>572</v>
      </c>
      <c r="L10" s="63" t="b">
        <v>0</v>
      </c>
      <c r="M10" s="11"/>
      <c r="N10" s="11"/>
      <c r="O10" s="11"/>
      <c r="P10" s="11"/>
      <c r="Q10" s="11"/>
      <c r="R10" s="62" t="str">
        <f t="shared" ref="R10:R24" si="13">IF(LEFT(D10,2)="BO","BOT","BTP")</f>
        <v>BTP</v>
      </c>
      <c r="S10" s="66" t="str">
        <f>_xll.qlFixedRateBond(T10,U10,V10,W10,X10,Y10,Z10,AA10,AB10,AC10,AD10,AE10)</f>
        <v>BTP_BTPS 4.5 03/01/2024 #0000</v>
      </c>
      <c r="T10" s="11" t="str">
        <f t="shared" ref="T10:T24" si="14">+R10&amp;"_"&amp;C10</f>
        <v>BTP_BTPS 4.5 03/01/2024 #0000</v>
      </c>
      <c r="U10" s="11"/>
      <c r="V10" s="11" t="s">
        <v>611</v>
      </c>
      <c r="W10" s="11">
        <v>2</v>
      </c>
      <c r="X10" s="11">
        <v>100</v>
      </c>
      <c r="Y10" s="11" t="str">
        <f t="shared" ref="Y10:Y24" si="15">+C10</f>
        <v>BTPS 4.5 03/01/2024 #0000</v>
      </c>
      <c r="Z10" s="67">
        <f>IF(R10="BOT",0,VLOOKUP(D10,'1.DatiInputGVT'!$A$1:$S$24,19,FALSE)/100)</f>
        <v>4.4999999999999998E-2</v>
      </c>
      <c r="AA10" s="11" t="str">
        <f t="shared" ref="AA10:AA24" si="16">IF(R10="BOT","act/360","act/act")</f>
        <v>act/act</v>
      </c>
      <c r="AB10" s="11" t="s">
        <v>571</v>
      </c>
      <c r="AC10" s="11">
        <f t="shared" si="9"/>
        <v>100</v>
      </c>
      <c r="AD10" s="18">
        <f t="shared" ref="AD10:AD24" si="17">DATE(YEAR(F10)-AI10,MONTH(F10),DAY(F10))</f>
        <v>19784</v>
      </c>
      <c r="AE10" s="11" t="s">
        <v>157</v>
      </c>
      <c r="AF10" s="11"/>
      <c r="AG10" s="11"/>
      <c r="AH10" s="11"/>
      <c r="AI10" s="69">
        <f t="shared" si="10"/>
        <v>70</v>
      </c>
      <c r="AJ10" s="70" t="str">
        <f t="array" ref="AJ10">_xll.qlBondHelper(AK10,AL10,AM10,AN10)</f>
        <v>BTPS 4.5 03/01/2024 BH#0000</v>
      </c>
      <c r="AK10" s="11" t="str">
        <f t="shared" ref="AK10:AK24" si="18">D10&amp; "BH"</f>
        <v>BTPS 4.5 03/01/2024 BH</v>
      </c>
      <c r="AL10" s="11">
        <f>'1.DatiInputGVT'!M10</f>
        <v>117.94499999999999</v>
      </c>
      <c r="AM10" s="11" t="str">
        <f t="shared" ref="AM10:AM24" si="19">+S10</f>
        <v>BTP_BTPS 4.5 03/01/2024 #0000</v>
      </c>
      <c r="AN10" s="11" t="b">
        <v>1</v>
      </c>
    </row>
    <row r="11" spans="1:43" x14ac:dyDescent="0.25">
      <c r="A11" t="s">
        <v>548</v>
      </c>
      <c r="C11" s="27" t="str">
        <f>_xll.qlSchedule(D11,E11,F11,G11,H11,I11,J11,K11,L11)</f>
        <v>BTPS 3.75 09/01/2024#0000</v>
      </c>
      <c r="D11" s="11" t="str">
        <f>+'1.DatiInputGVT'!A11</f>
        <v>BTPS 3.75 09/01/2024</v>
      </c>
      <c r="E11" s="18">
        <f>'3.DataAnalisi'!$A$1</f>
        <v>42790</v>
      </c>
      <c r="F11" s="18">
        <f>+'1.DatiInputGVT'!C11</f>
        <v>45536</v>
      </c>
      <c r="G11" s="11" t="str">
        <f t="shared" si="11"/>
        <v>6M</v>
      </c>
      <c r="H11" s="11" t="s">
        <v>157</v>
      </c>
      <c r="I11" s="63" t="s">
        <v>571</v>
      </c>
      <c r="J11" s="63" t="str">
        <f t="shared" si="12"/>
        <v>Unadjusted</v>
      </c>
      <c r="K11" s="63" t="s">
        <v>572</v>
      </c>
      <c r="L11" s="63" t="b">
        <v>0</v>
      </c>
      <c r="M11" s="11"/>
      <c r="N11" s="11"/>
      <c r="O11" s="11"/>
      <c r="P11" s="11"/>
      <c r="Q11" s="11"/>
      <c r="R11" s="62" t="str">
        <f t="shared" si="13"/>
        <v>BTP</v>
      </c>
      <c r="S11" s="66" t="str">
        <f>_xll.qlFixedRateBond(T11,U11,V11,W11,X11,Y11,Z11,AA11,AB11,AC11,AD11,AE11)</f>
        <v>BTP_BTPS 3.75 09/01/2024#0000</v>
      </c>
      <c r="T11" s="11" t="str">
        <f t="shared" si="14"/>
        <v>BTP_BTPS 3.75 09/01/2024#0000</v>
      </c>
      <c r="U11" s="11"/>
      <c r="V11" s="11" t="s">
        <v>611</v>
      </c>
      <c r="W11" s="11">
        <v>2</v>
      </c>
      <c r="X11" s="11">
        <v>100</v>
      </c>
      <c r="Y11" s="11" t="str">
        <f t="shared" si="15"/>
        <v>BTPS 3.75 09/01/2024#0000</v>
      </c>
      <c r="Z11" s="67">
        <f>IF(R11="BOT",0,VLOOKUP(D11,'1.DatiInputGVT'!$A$1:$S$24,19,FALSE)/100)</f>
        <v>3.7499999999999999E-2</v>
      </c>
      <c r="AA11" s="11" t="str">
        <f t="shared" si="16"/>
        <v>act/act</v>
      </c>
      <c r="AB11" s="11" t="s">
        <v>571</v>
      </c>
      <c r="AC11" s="11">
        <f t="shared" si="9"/>
        <v>100</v>
      </c>
      <c r="AD11" s="18">
        <f t="shared" si="17"/>
        <v>19968</v>
      </c>
      <c r="AE11" s="11" t="s">
        <v>157</v>
      </c>
      <c r="AF11" s="11"/>
      <c r="AG11" s="11"/>
      <c r="AH11" s="11"/>
      <c r="AI11" s="69">
        <f t="shared" si="10"/>
        <v>70</v>
      </c>
      <c r="AJ11" s="70" t="str">
        <f t="array" ref="AJ11">_xll.qlBondHelper(AK11,AL11,AM11,AN11)</f>
        <v>BTPS 3.75 09/01/2024BH#0000</v>
      </c>
      <c r="AK11" s="11" t="str">
        <f t="shared" si="18"/>
        <v>BTPS 3.75 09/01/2024BH</v>
      </c>
      <c r="AL11" s="11">
        <f>'1.DatiInputGVT'!M11</f>
        <v>113.095</v>
      </c>
      <c r="AM11" s="11" t="str">
        <f t="shared" si="19"/>
        <v>BTP_BTPS 3.75 09/01/2024#0000</v>
      </c>
      <c r="AN11" s="11" t="b">
        <v>1</v>
      </c>
    </row>
    <row r="12" spans="1:43" x14ac:dyDescent="0.25">
      <c r="A12" t="s">
        <v>135</v>
      </c>
      <c r="C12" s="27" t="str">
        <f>_xll.qlSchedule(D12,E12,F12,G12,H12,I12,J12,K12,L12)</f>
        <v>BTPS 5 03/01/25#0000</v>
      </c>
      <c r="D12" s="11" t="str">
        <f>+'1.DatiInputGVT'!A12</f>
        <v>BTPS 5 03/01/25</v>
      </c>
      <c r="E12" s="18">
        <f>'3.DataAnalisi'!$A$1</f>
        <v>42790</v>
      </c>
      <c r="F12" s="18">
        <f>+'1.DatiInputGVT'!C12</f>
        <v>45717</v>
      </c>
      <c r="G12" s="11" t="str">
        <f t="shared" si="11"/>
        <v>6M</v>
      </c>
      <c r="H12" s="11" t="s">
        <v>157</v>
      </c>
      <c r="I12" s="63" t="s">
        <v>571</v>
      </c>
      <c r="J12" s="63" t="str">
        <f t="shared" si="12"/>
        <v>Unadjusted</v>
      </c>
      <c r="K12" s="63" t="s">
        <v>572</v>
      </c>
      <c r="L12" s="63" t="b">
        <v>0</v>
      </c>
      <c r="M12" s="11"/>
      <c r="N12" s="11"/>
      <c r="O12" s="11"/>
      <c r="P12" s="11"/>
      <c r="Q12" s="11"/>
      <c r="R12" s="62" t="str">
        <f t="shared" si="13"/>
        <v>BTP</v>
      </c>
      <c r="S12" s="66" t="str">
        <f>_xll.qlFixedRateBond(T12,U12,V12,W12,X12,Y12,Z12,AA12,AB12,AC12,AD12,AE12)</f>
        <v>BTP_BTPS 5 03/01/25#0000</v>
      </c>
      <c r="T12" s="11" t="str">
        <f t="shared" si="14"/>
        <v>BTP_BTPS 5 03/01/25#0000</v>
      </c>
      <c r="U12" s="11"/>
      <c r="V12" s="11" t="s">
        <v>611</v>
      </c>
      <c r="W12" s="11">
        <v>2</v>
      </c>
      <c r="X12" s="11">
        <v>100</v>
      </c>
      <c r="Y12" s="11" t="str">
        <f t="shared" si="15"/>
        <v>BTPS 5 03/01/25#0000</v>
      </c>
      <c r="Z12" s="67">
        <f>IF(R12="BOT",0,VLOOKUP(D12,'1.DatiInputGVT'!$A$1:$S$24,19,FALSE)/100)</f>
        <v>0.05</v>
      </c>
      <c r="AA12" s="11" t="str">
        <f t="shared" si="16"/>
        <v>act/act</v>
      </c>
      <c r="AB12" s="11" t="s">
        <v>571</v>
      </c>
      <c r="AC12" s="11">
        <f t="shared" si="9"/>
        <v>100</v>
      </c>
      <c r="AD12" s="18">
        <f t="shared" si="17"/>
        <v>20149</v>
      </c>
      <c r="AE12" s="11" t="s">
        <v>157</v>
      </c>
      <c r="AF12" s="11"/>
      <c r="AG12" s="11"/>
      <c r="AH12" s="11"/>
      <c r="AI12" s="69">
        <f t="shared" si="10"/>
        <v>70</v>
      </c>
      <c r="AJ12" s="70" t="str">
        <f t="array" ref="AJ12">_xll.qlBondHelper(AK12,AL12,AM12,AN12)</f>
        <v>BTPS 5 03/01/25BH#0000</v>
      </c>
      <c r="AK12" s="11" t="str">
        <f t="shared" si="18"/>
        <v>BTPS 5 03/01/25BH</v>
      </c>
      <c r="AL12" s="11">
        <f>'1.DatiInputGVT'!M12</f>
        <v>122.565</v>
      </c>
      <c r="AM12" s="11" t="str">
        <f t="shared" si="19"/>
        <v>BTP_BTPS 5 03/01/25#0000</v>
      </c>
      <c r="AN12" s="11" t="b">
        <v>1</v>
      </c>
    </row>
    <row r="13" spans="1:43" x14ac:dyDescent="0.25">
      <c r="A13" t="s">
        <v>137</v>
      </c>
      <c r="C13" s="27" t="str">
        <f>_xll.qlSchedule(D13,E13,F13,G13,H13,I13,J13,K13,L13)</f>
        <v>BTPS 2% 12/25#0000</v>
      </c>
      <c r="D13" s="11" t="str">
        <f>+'1.DatiInputGVT'!A13</f>
        <v>BTPS 2% 12/25</v>
      </c>
      <c r="E13" s="18">
        <f>'3.DataAnalisi'!$A$1</f>
        <v>42790</v>
      </c>
      <c r="F13" s="18">
        <f>+'1.DatiInputGVT'!C13</f>
        <v>45992</v>
      </c>
      <c r="G13" s="11" t="str">
        <f t="shared" si="11"/>
        <v>6M</v>
      </c>
      <c r="H13" s="11" t="s">
        <v>157</v>
      </c>
      <c r="I13" s="63" t="s">
        <v>571</v>
      </c>
      <c r="J13" s="63" t="str">
        <f t="shared" si="12"/>
        <v>Unadjusted</v>
      </c>
      <c r="K13" s="63" t="s">
        <v>572</v>
      </c>
      <c r="L13" s="63" t="b">
        <v>0</v>
      </c>
      <c r="M13" s="11"/>
      <c r="N13" s="11"/>
      <c r="O13" s="11"/>
      <c r="P13" s="11"/>
      <c r="Q13" s="11"/>
      <c r="R13" s="62" t="str">
        <f t="shared" si="13"/>
        <v>BTP</v>
      </c>
      <c r="S13" s="66" t="str">
        <f>_xll.qlFixedRateBond(T13,U13,V13,W13,X13,Y13,Z13,AA13,AB13,AC13,AD13,AE13)</f>
        <v>BTP_BTPS 2% 12/25#0000</v>
      </c>
      <c r="T13" s="11" t="str">
        <f t="shared" si="14"/>
        <v>BTP_BTPS 2% 12/25#0000</v>
      </c>
      <c r="U13" s="11"/>
      <c r="V13" s="11" t="s">
        <v>611</v>
      </c>
      <c r="W13" s="11">
        <v>2</v>
      </c>
      <c r="X13" s="11">
        <v>100</v>
      </c>
      <c r="Y13" s="11" t="str">
        <f t="shared" si="15"/>
        <v>BTPS 2% 12/25#0000</v>
      </c>
      <c r="Z13" s="67">
        <f>IF(R13="BOT",0,VLOOKUP(D13,'1.DatiInputGVT'!$A$1:$S$24,19,FALSE)/100)</f>
        <v>0.02</v>
      </c>
      <c r="AA13" s="11" t="str">
        <f t="shared" si="16"/>
        <v>act/act</v>
      </c>
      <c r="AB13" s="11" t="s">
        <v>571</v>
      </c>
      <c r="AC13" s="11">
        <f t="shared" si="9"/>
        <v>100</v>
      </c>
      <c r="AD13" s="18">
        <f t="shared" si="17"/>
        <v>20424</v>
      </c>
      <c r="AE13" s="11" t="s">
        <v>157</v>
      </c>
      <c r="AF13" s="11"/>
      <c r="AG13" s="11"/>
      <c r="AH13" s="11"/>
      <c r="AI13" s="69">
        <f t="shared" si="10"/>
        <v>70</v>
      </c>
      <c r="AJ13" s="70" t="str">
        <f t="array" ref="AJ13">_xll.qlBondHelper(AK13,AL13,AM13,AN13)</f>
        <v>BTPS 2% 12/25BH#0000</v>
      </c>
      <c r="AK13" s="11" t="str">
        <f t="shared" si="18"/>
        <v>BTPS 2% 12/25BH</v>
      </c>
      <c r="AL13" s="11">
        <f>'1.DatiInputGVT'!M13</f>
        <v>99.504999999999995</v>
      </c>
      <c r="AM13" s="11" t="str">
        <f t="shared" si="19"/>
        <v>BTP_BTPS 2% 12/25#0000</v>
      </c>
      <c r="AN13" s="11" t="b">
        <v>1</v>
      </c>
    </row>
    <row r="14" spans="1:43" x14ac:dyDescent="0.25">
      <c r="A14" t="s">
        <v>138</v>
      </c>
      <c r="C14" s="27" t="str">
        <f>_xll.qlSchedule(D14,E14,F14,G14,H14,I14,J14,K14,L14)</f>
        <v>BTP 4.5 03/01/26#0000</v>
      </c>
      <c r="D14" s="11" t="str">
        <f>+'1.DatiInputGVT'!A14</f>
        <v>BTP 4.5 03/01/26</v>
      </c>
      <c r="E14" s="18">
        <f>'3.DataAnalisi'!$A$1</f>
        <v>42790</v>
      </c>
      <c r="F14" s="18">
        <f>+'1.DatiInputGVT'!C14</f>
        <v>46082</v>
      </c>
      <c r="G14" s="11" t="str">
        <f t="shared" si="11"/>
        <v>6M</v>
      </c>
      <c r="H14" s="11" t="s">
        <v>157</v>
      </c>
      <c r="I14" s="63" t="s">
        <v>571</v>
      </c>
      <c r="J14" s="63" t="str">
        <f t="shared" si="12"/>
        <v>Unadjusted</v>
      </c>
      <c r="K14" s="63" t="s">
        <v>572</v>
      </c>
      <c r="L14" s="63" t="b">
        <v>0</v>
      </c>
      <c r="M14" s="11"/>
      <c r="N14" s="11"/>
      <c r="O14" s="11"/>
      <c r="P14" s="11"/>
      <c r="Q14" s="11"/>
      <c r="R14" s="62" t="str">
        <f t="shared" si="13"/>
        <v>BTP</v>
      </c>
      <c r="S14" s="66" t="str">
        <f>_xll.qlFixedRateBond(T14,U14,V14,W14,X14,Y14,Z14,AA14,AB14,AC14,AD14,AE14)</f>
        <v>BTP_BTP 4.5 03/01/26#0000</v>
      </c>
      <c r="T14" s="11" t="str">
        <f t="shared" si="14"/>
        <v>BTP_BTP 4.5 03/01/26#0000</v>
      </c>
      <c r="U14" s="11"/>
      <c r="V14" s="11" t="s">
        <v>611</v>
      </c>
      <c r="W14" s="11">
        <v>2</v>
      </c>
      <c r="X14" s="11">
        <v>100</v>
      </c>
      <c r="Y14" s="11" t="str">
        <f t="shared" si="15"/>
        <v>BTP 4.5 03/01/26#0000</v>
      </c>
      <c r="Z14" s="67">
        <f>IF(R14="BOT",0,VLOOKUP(D14,'1.DatiInputGVT'!$A$1:$S$24,19,FALSE)/100)</f>
        <v>4.4999999999999998E-2</v>
      </c>
      <c r="AA14" s="11" t="str">
        <f t="shared" si="16"/>
        <v>act/act</v>
      </c>
      <c r="AB14" s="11" t="s">
        <v>571</v>
      </c>
      <c r="AC14" s="11">
        <f t="shared" si="9"/>
        <v>100</v>
      </c>
      <c r="AD14" s="18">
        <f t="shared" si="17"/>
        <v>20515</v>
      </c>
      <c r="AE14" s="11" t="s">
        <v>157</v>
      </c>
      <c r="AF14" s="11"/>
      <c r="AG14" s="11"/>
      <c r="AH14" s="11"/>
      <c r="AI14" s="69">
        <f t="shared" si="10"/>
        <v>70</v>
      </c>
      <c r="AJ14" s="70" t="str">
        <f t="array" ref="AJ14">_xll.qlBondHelper(AK14,AL14,AM14,AN14)</f>
        <v>BTP 4.5 03/01/26BH#0000</v>
      </c>
      <c r="AK14" s="11" t="str">
        <f t="shared" si="18"/>
        <v>BTP 4.5 03/01/26BH</v>
      </c>
      <c r="AL14" s="11">
        <f>'1.DatiInputGVT'!M14</f>
        <v>119.2</v>
      </c>
      <c r="AM14" s="11" t="str">
        <f t="shared" si="19"/>
        <v>BTP_BTP 4.5 03/01/26#0000</v>
      </c>
      <c r="AN14" s="11" t="b">
        <v>1</v>
      </c>
    </row>
    <row r="15" spans="1:43" x14ac:dyDescent="0.25">
      <c r="A15" t="s">
        <v>549</v>
      </c>
      <c r="C15" s="27" t="str">
        <f>_xll.qlSchedule(D15,E15,F15,G15,H15,I15,J15,K15,L15)</f>
        <v>BTPS 1.25% 12/01/26#0000</v>
      </c>
      <c r="D15" s="11" t="str">
        <f>+'1.DatiInputGVT'!A15</f>
        <v>BTPS 1.25% 12/01/26</v>
      </c>
      <c r="E15" s="18">
        <f>'3.DataAnalisi'!$A$1</f>
        <v>42790</v>
      </c>
      <c r="F15" s="18">
        <f>+'1.DatiInputGVT'!C15</f>
        <v>46357</v>
      </c>
      <c r="G15" s="11" t="str">
        <f t="shared" si="11"/>
        <v>6M</v>
      </c>
      <c r="H15" s="11" t="s">
        <v>157</v>
      </c>
      <c r="I15" s="63" t="s">
        <v>571</v>
      </c>
      <c r="J15" s="63" t="str">
        <f t="shared" si="12"/>
        <v>Unadjusted</v>
      </c>
      <c r="K15" s="63" t="s">
        <v>572</v>
      </c>
      <c r="L15" s="63" t="b">
        <v>0</v>
      </c>
      <c r="M15" s="11"/>
      <c r="N15" s="11"/>
      <c r="O15" s="11"/>
      <c r="P15" s="11"/>
      <c r="Q15" s="11"/>
      <c r="R15" s="62" t="str">
        <f t="shared" si="13"/>
        <v>BTP</v>
      </c>
      <c r="S15" s="66" t="str">
        <f>_xll.qlFixedRateBond(T15,U15,V15,W15,X15,Y15,Z15,AA15,AB15,AC15,AD15,AE15)</f>
        <v>BTP_BTPS 1.25% 12/01/26#0000</v>
      </c>
      <c r="T15" s="11" t="str">
        <f t="shared" si="14"/>
        <v>BTP_BTPS 1.25% 12/01/26#0000</v>
      </c>
      <c r="U15" s="11"/>
      <c r="V15" s="11" t="s">
        <v>611</v>
      </c>
      <c r="W15" s="11">
        <v>2</v>
      </c>
      <c r="X15" s="11">
        <v>100</v>
      </c>
      <c r="Y15" s="11" t="str">
        <f t="shared" si="15"/>
        <v>BTPS 1.25% 12/01/26#0000</v>
      </c>
      <c r="Z15" s="67">
        <f>IF(R15="BOT",0,VLOOKUP(D15,'1.DatiInputGVT'!$A$1:$S$24,19,FALSE)/100)</f>
        <v>1.2500000000000001E-2</v>
      </c>
      <c r="AA15" s="11" t="str">
        <f t="shared" si="16"/>
        <v>act/act</v>
      </c>
      <c r="AB15" s="11" t="s">
        <v>571</v>
      </c>
      <c r="AC15" s="11">
        <f t="shared" si="9"/>
        <v>100</v>
      </c>
      <c r="AD15" s="18">
        <f t="shared" si="17"/>
        <v>20790</v>
      </c>
      <c r="AE15" s="11" t="s">
        <v>157</v>
      </c>
      <c r="AF15" s="11"/>
      <c r="AG15" s="11"/>
      <c r="AH15" s="11"/>
      <c r="AI15" s="69">
        <f t="shared" si="10"/>
        <v>70</v>
      </c>
      <c r="AJ15" s="70" t="str">
        <f t="array" ref="AJ15">_xll.qlBondHelper(AK15,AL15,AM15,AN15)</f>
        <v>BTPS 1.25% 12/01/26BH#0000</v>
      </c>
      <c r="AK15" s="11" t="str">
        <f t="shared" si="18"/>
        <v>BTPS 1.25% 12/01/26BH</v>
      </c>
      <c r="AL15" s="11">
        <f>'1.DatiInputGVT'!M15</f>
        <v>92.045000000000002</v>
      </c>
      <c r="AM15" s="11" t="str">
        <f t="shared" si="19"/>
        <v>BTP_BTPS 1.25% 12/01/26#0000</v>
      </c>
      <c r="AN15" s="11" t="b">
        <v>1</v>
      </c>
    </row>
    <row r="16" spans="1:43" x14ac:dyDescent="0.25">
      <c r="A16" t="s">
        <v>550</v>
      </c>
      <c r="C16" s="27" t="str">
        <f>_xll.qlSchedule(D16,E16,F16,G16,H16,I16,J16,K16,L16)</f>
        <v>BTPS 4 3/4 01/09/28#0000</v>
      </c>
      <c r="D16" s="11" t="str">
        <f>+'1.DatiInputGVT'!A16</f>
        <v>BTPS 4 3/4 01/09/28</v>
      </c>
      <c r="E16" s="18">
        <f>'3.DataAnalisi'!$A$1</f>
        <v>42790</v>
      </c>
      <c r="F16" s="18">
        <f>+'1.DatiInputGVT'!C16</f>
        <v>46997</v>
      </c>
      <c r="G16" s="11" t="str">
        <f t="shared" si="11"/>
        <v>6M</v>
      </c>
      <c r="H16" s="11" t="s">
        <v>157</v>
      </c>
      <c r="I16" s="63" t="s">
        <v>571</v>
      </c>
      <c r="J16" s="63" t="str">
        <f t="shared" si="12"/>
        <v>Unadjusted</v>
      </c>
      <c r="K16" s="63" t="s">
        <v>572</v>
      </c>
      <c r="L16" s="63" t="b">
        <v>0</v>
      </c>
      <c r="M16" s="11"/>
      <c r="N16" s="11"/>
      <c r="O16" s="11"/>
      <c r="P16" s="11"/>
      <c r="Q16" s="11"/>
      <c r="R16" s="62" t="str">
        <f t="shared" si="13"/>
        <v>BTP</v>
      </c>
      <c r="S16" s="66" t="str">
        <f>_xll.qlFixedRateBond(T16,U16,V16,W16,X16,Y16,Z16,AA16,AB16,AC16,AD16,AE16)</f>
        <v>BTP_BTPS 4 3/4 01/09/28#0000</v>
      </c>
      <c r="T16" s="11" t="str">
        <f t="shared" si="14"/>
        <v>BTP_BTPS 4 3/4 01/09/28#0000</v>
      </c>
      <c r="U16" s="11"/>
      <c r="V16" s="11" t="s">
        <v>611</v>
      </c>
      <c r="W16" s="11">
        <v>2</v>
      </c>
      <c r="X16" s="11">
        <v>100</v>
      </c>
      <c r="Y16" s="11" t="str">
        <f t="shared" si="15"/>
        <v>BTPS 4 3/4 01/09/28#0000</v>
      </c>
      <c r="Z16" s="67">
        <f>IF(R16="BOT",0,VLOOKUP(D16,'1.DatiInputGVT'!$A$1:$S$24,19,FALSE)/100)</f>
        <v>4.7500000000000001E-2</v>
      </c>
      <c r="AA16" s="11" t="str">
        <f t="shared" si="16"/>
        <v>act/act</v>
      </c>
      <c r="AB16" s="11" t="s">
        <v>571</v>
      </c>
      <c r="AC16" s="11">
        <f t="shared" si="9"/>
        <v>100</v>
      </c>
      <c r="AD16" s="18">
        <f t="shared" si="17"/>
        <v>21429</v>
      </c>
      <c r="AE16" s="11" t="s">
        <v>157</v>
      </c>
      <c r="AF16" s="11"/>
      <c r="AG16" s="11"/>
      <c r="AH16" s="11"/>
      <c r="AI16" s="69">
        <f t="shared" si="10"/>
        <v>70</v>
      </c>
      <c r="AJ16" s="70" t="str">
        <f t="array" ref="AJ16">_xll.qlBondHelper(AK16,AL16,AM16,AN16)</f>
        <v>BTPS 4 3/4 01/09/28BH#0000</v>
      </c>
      <c r="AK16" s="11" t="str">
        <f t="shared" si="18"/>
        <v>BTPS 4 3/4 01/09/28BH</v>
      </c>
      <c r="AL16" s="11">
        <f>'1.DatiInputGVT'!M16</f>
        <v>122.595</v>
      </c>
      <c r="AM16" s="11" t="str">
        <f t="shared" si="19"/>
        <v>BTP_BTPS 4 3/4 01/09/28#0000</v>
      </c>
      <c r="AN16" s="11" t="b">
        <v>1</v>
      </c>
    </row>
    <row r="17" spans="1:40" x14ac:dyDescent="0.25">
      <c r="A17" t="s">
        <v>139</v>
      </c>
      <c r="C17" s="27" t="str">
        <f>_xll.qlSchedule(D17,E17,F17,G17,H17,I17,J17,K17,L17)</f>
        <v>BTPS 3.5 03/01/2030#0000</v>
      </c>
      <c r="D17" s="11" t="str">
        <f>+'1.DatiInputGVT'!A17</f>
        <v>BTPS 3.5 03/01/2030</v>
      </c>
      <c r="E17" s="18">
        <f>'3.DataAnalisi'!$A$1</f>
        <v>42790</v>
      </c>
      <c r="F17" s="18">
        <f>+'1.DatiInputGVT'!C17</f>
        <v>47543</v>
      </c>
      <c r="G17" s="11" t="str">
        <f t="shared" si="11"/>
        <v>6M</v>
      </c>
      <c r="H17" s="11" t="s">
        <v>157</v>
      </c>
      <c r="I17" s="63" t="s">
        <v>571</v>
      </c>
      <c r="J17" s="63" t="str">
        <f t="shared" si="12"/>
        <v>Unadjusted</v>
      </c>
      <c r="K17" s="63" t="s">
        <v>572</v>
      </c>
      <c r="L17" s="63" t="b">
        <v>0</v>
      </c>
      <c r="M17" s="11"/>
      <c r="N17" s="11"/>
      <c r="O17" s="11"/>
      <c r="P17" s="11"/>
      <c r="Q17" s="11"/>
      <c r="R17" s="62" t="str">
        <f t="shared" si="13"/>
        <v>BTP</v>
      </c>
      <c r="S17" s="66" t="str">
        <f>_xll.qlFixedRateBond(T17,U17,V17,W17,X17,Y17,Z17,AA17,AB17,AC17,AD17,AE17)</f>
        <v>BTP_BTPS 3.5 03/01/2030#0000</v>
      </c>
      <c r="T17" s="11" t="str">
        <f t="shared" si="14"/>
        <v>BTP_BTPS 3.5 03/01/2030#0000</v>
      </c>
      <c r="U17" s="11"/>
      <c r="V17" s="11" t="s">
        <v>611</v>
      </c>
      <c r="W17" s="11">
        <v>2</v>
      </c>
      <c r="X17" s="11">
        <v>100</v>
      </c>
      <c r="Y17" s="11" t="str">
        <f t="shared" si="15"/>
        <v>BTPS 3.5 03/01/2030#0000</v>
      </c>
      <c r="Z17" s="67">
        <f>IF(R17="BOT",0,VLOOKUP(D17,'1.DatiInputGVT'!$A$1:$S$24,19,FALSE)/100)</f>
        <v>3.5000000000000003E-2</v>
      </c>
      <c r="AA17" s="11" t="str">
        <f t="shared" si="16"/>
        <v>act/act</v>
      </c>
      <c r="AB17" s="11" t="s">
        <v>571</v>
      </c>
      <c r="AC17" s="11">
        <f t="shared" si="9"/>
        <v>100</v>
      </c>
      <c r="AD17" s="18">
        <f t="shared" si="17"/>
        <v>21976</v>
      </c>
      <c r="AE17" s="11" t="s">
        <v>157</v>
      </c>
      <c r="AF17" s="11"/>
      <c r="AG17" s="11"/>
      <c r="AH17" s="11"/>
      <c r="AI17" s="69">
        <f t="shared" si="10"/>
        <v>70</v>
      </c>
      <c r="AJ17" s="70" t="str">
        <f t="array" ref="AJ17">_xll.qlBondHelper(AK17,AL17,AM17,AN17)</f>
        <v>BTPS 3.5 03/01/2030BH#0000</v>
      </c>
      <c r="AK17" s="11" t="str">
        <f t="shared" si="18"/>
        <v>BTPS 3.5 03/01/2030BH</v>
      </c>
      <c r="AL17" s="11">
        <f>'1.DatiInputGVT'!M17</f>
        <v>110.51</v>
      </c>
      <c r="AM17" s="11" t="str">
        <f t="shared" si="19"/>
        <v>BTP_BTPS 3.5 03/01/2030#0000</v>
      </c>
      <c r="AN17" s="11" t="b">
        <v>1</v>
      </c>
    </row>
    <row r="18" spans="1:40" x14ac:dyDescent="0.25">
      <c r="A18" t="s">
        <v>551</v>
      </c>
      <c r="C18" s="27" t="str">
        <f>_xll.qlSchedule(D18,E18,F18,G18,H18,I18,J18,K18,L18)</f>
        <v>BTPS 1,65 01/03/32#0000</v>
      </c>
      <c r="D18" s="11" t="str">
        <f>+'1.DatiInputGVT'!A18</f>
        <v>BTPS 1,65 01/03/32</v>
      </c>
      <c r="E18" s="18">
        <f>'3.DataAnalisi'!$A$1</f>
        <v>42790</v>
      </c>
      <c r="F18" s="18">
        <f>+'1.DatiInputGVT'!C18</f>
        <v>48274</v>
      </c>
      <c r="G18" s="11" t="str">
        <f t="shared" si="11"/>
        <v>6M</v>
      </c>
      <c r="H18" s="11" t="s">
        <v>157</v>
      </c>
      <c r="I18" s="63" t="s">
        <v>571</v>
      </c>
      <c r="J18" s="63" t="str">
        <f t="shared" si="12"/>
        <v>Unadjusted</v>
      </c>
      <c r="K18" s="63" t="s">
        <v>572</v>
      </c>
      <c r="L18" s="63" t="b">
        <v>0</v>
      </c>
      <c r="M18" s="11"/>
      <c r="N18" s="11"/>
      <c r="O18" s="11"/>
      <c r="P18" s="11"/>
      <c r="Q18" s="11"/>
      <c r="R18" s="62" t="str">
        <f t="shared" si="13"/>
        <v>BTP</v>
      </c>
      <c r="S18" s="66" t="str">
        <f>_xll.qlFixedRateBond(T18,U18,V18,W18,X18,Y18,Z18,AA18,AB18,AC18,AD18,AE18)</f>
        <v>BTP_BTPS 1,65 01/03/32#0000</v>
      </c>
      <c r="T18" s="11" t="str">
        <f t="shared" si="14"/>
        <v>BTP_BTPS 1,65 01/03/32#0000</v>
      </c>
      <c r="U18" s="11"/>
      <c r="V18" s="11" t="s">
        <v>611</v>
      </c>
      <c r="W18" s="11">
        <v>2</v>
      </c>
      <c r="X18" s="11">
        <v>100</v>
      </c>
      <c r="Y18" s="11" t="str">
        <f t="shared" si="15"/>
        <v>BTPS 1,65 01/03/32#0000</v>
      </c>
      <c r="Z18" s="67">
        <f>IF(R18="BOT",0,VLOOKUP(D18,'1.DatiInputGVT'!$A$1:$S$24,19,FALSE)/100)</f>
        <v>1.6500000000000001E-2</v>
      </c>
      <c r="AA18" s="11" t="str">
        <f t="shared" si="16"/>
        <v>act/act</v>
      </c>
      <c r="AB18" s="11" t="s">
        <v>571</v>
      </c>
      <c r="AC18" s="11">
        <f t="shared" si="9"/>
        <v>100</v>
      </c>
      <c r="AD18" s="18">
        <f t="shared" si="17"/>
        <v>22706</v>
      </c>
      <c r="AE18" s="11" t="s">
        <v>157</v>
      </c>
      <c r="AF18" s="11"/>
      <c r="AG18" s="11"/>
      <c r="AH18" s="11"/>
      <c r="AI18" s="69">
        <f t="shared" si="10"/>
        <v>70</v>
      </c>
      <c r="AJ18" s="70" t="str">
        <f t="array" ref="AJ18">_xll.qlBondHelper(AK18,AL18,AM18,AN18)</f>
        <v>BTPS 1,65 01/03/32BH#0000</v>
      </c>
      <c r="AK18" s="11" t="str">
        <f t="shared" si="18"/>
        <v>BTPS 1,65 01/03/32BH</v>
      </c>
      <c r="AL18" s="11">
        <f>'1.DatiInputGVT'!M18</f>
        <v>89.465000000000003</v>
      </c>
      <c r="AM18" s="11" t="str">
        <f t="shared" si="19"/>
        <v>BTP_BTPS 1,65 01/03/32#0000</v>
      </c>
      <c r="AN18" s="11" t="b">
        <v>1</v>
      </c>
    </row>
    <row r="19" spans="1:40" x14ac:dyDescent="0.25">
      <c r="A19" t="s">
        <v>552</v>
      </c>
      <c r="C19" s="27" t="str">
        <f>_xll.qlSchedule(D19,E19,F19,G19,H19,I19,J19,K19,L19)</f>
        <v>BTPS 5 08/01/34#0000</v>
      </c>
      <c r="D19" s="11" t="str">
        <f>+'1.DatiInputGVT'!A19</f>
        <v>BTPS 5 08/01/34</v>
      </c>
      <c r="E19" s="18">
        <f>'3.DataAnalisi'!$A$1</f>
        <v>42790</v>
      </c>
      <c r="F19" s="18">
        <f>+'1.DatiInputGVT'!C19</f>
        <v>49157</v>
      </c>
      <c r="G19" s="11" t="str">
        <f t="shared" si="11"/>
        <v>6M</v>
      </c>
      <c r="H19" s="11" t="s">
        <v>157</v>
      </c>
      <c r="I19" s="63" t="s">
        <v>571</v>
      </c>
      <c r="J19" s="63" t="str">
        <f t="shared" si="12"/>
        <v>Unadjusted</v>
      </c>
      <c r="K19" s="63" t="s">
        <v>572</v>
      </c>
      <c r="L19" s="63" t="b">
        <v>0</v>
      </c>
      <c r="M19" s="11"/>
      <c r="N19" s="11"/>
      <c r="O19" s="11"/>
      <c r="P19" s="11"/>
      <c r="Q19" s="11"/>
      <c r="R19" s="62" t="str">
        <f t="shared" si="13"/>
        <v>BTP</v>
      </c>
      <c r="S19" s="66" t="str">
        <f>_xll.qlFixedRateBond(T19,U19,V19,W19,X19,Y19,Z19,AA19,AB19,AC19,AD19,AE19)</f>
        <v>BTP_BTPS 5 08/01/34#0000</v>
      </c>
      <c r="T19" s="11" t="str">
        <f t="shared" si="14"/>
        <v>BTP_BTPS 5 08/01/34#0000</v>
      </c>
      <c r="U19" s="11"/>
      <c r="V19" s="11" t="s">
        <v>611</v>
      </c>
      <c r="W19" s="11">
        <v>2</v>
      </c>
      <c r="X19" s="11">
        <v>100</v>
      </c>
      <c r="Y19" s="11" t="str">
        <f t="shared" si="15"/>
        <v>BTPS 5 08/01/34#0000</v>
      </c>
      <c r="Z19" s="67">
        <f>IF(R19="BOT",0,VLOOKUP(D19,'1.DatiInputGVT'!$A$1:$S$24,19,FALSE)/100)</f>
        <v>0.05</v>
      </c>
      <c r="AA19" s="11" t="str">
        <f t="shared" si="16"/>
        <v>act/act</v>
      </c>
      <c r="AB19" s="11" t="s">
        <v>571</v>
      </c>
      <c r="AC19" s="11">
        <f t="shared" si="9"/>
        <v>100</v>
      </c>
      <c r="AD19" s="18">
        <f t="shared" si="17"/>
        <v>23590</v>
      </c>
      <c r="AE19" s="11" t="s">
        <v>157</v>
      </c>
      <c r="AF19" s="11"/>
      <c r="AG19" s="11"/>
      <c r="AH19" s="11"/>
      <c r="AI19" s="69">
        <f t="shared" si="10"/>
        <v>70</v>
      </c>
      <c r="AJ19" s="70" t="str">
        <f t="array" ref="AJ19">_xll.qlBondHelper(AK19,AL19,AM19,AN19)</f>
        <v>BTPS 5 08/01/34BH#0000</v>
      </c>
      <c r="AK19" s="11" t="str">
        <f t="shared" si="18"/>
        <v>BTPS 5 08/01/34BH</v>
      </c>
      <c r="AL19" s="11">
        <f>'1.DatiInputGVT'!M19</f>
        <v>129.77500000000001</v>
      </c>
      <c r="AM19" s="11" t="str">
        <f t="shared" si="19"/>
        <v>BTP_BTPS 5 08/01/34#0000</v>
      </c>
      <c r="AN19" s="11" t="b">
        <v>1</v>
      </c>
    </row>
    <row r="20" spans="1:40" x14ac:dyDescent="0.25">
      <c r="A20" t="s">
        <v>111</v>
      </c>
      <c r="C20" s="27" t="str">
        <f>_xll.qlSchedule(D20,E20,F20,G20,H20,I20,J20,K20,L20)</f>
        <v>BTPS 2.25 09/01/36#0000</v>
      </c>
      <c r="D20" s="11" t="str">
        <f>+'1.DatiInputGVT'!A20</f>
        <v>BTPS 2.25 09/01/36</v>
      </c>
      <c r="E20" s="18">
        <f>'3.DataAnalisi'!$A$1</f>
        <v>42790</v>
      </c>
      <c r="F20" s="18">
        <f>+'1.DatiInputGVT'!C20</f>
        <v>49919</v>
      </c>
      <c r="G20" s="11" t="str">
        <f t="shared" si="11"/>
        <v>6M</v>
      </c>
      <c r="H20" s="11" t="s">
        <v>157</v>
      </c>
      <c r="I20" s="63" t="s">
        <v>571</v>
      </c>
      <c r="J20" s="63" t="str">
        <f t="shared" si="12"/>
        <v>Unadjusted</v>
      </c>
      <c r="K20" s="63" t="s">
        <v>572</v>
      </c>
      <c r="L20" s="63" t="b">
        <v>0</v>
      </c>
      <c r="M20" s="11"/>
      <c r="N20" s="11"/>
      <c r="O20" s="11"/>
      <c r="P20" s="11"/>
      <c r="Q20" s="11"/>
      <c r="R20" s="62" t="str">
        <f t="shared" si="13"/>
        <v>BTP</v>
      </c>
      <c r="S20" s="66" t="str">
        <f>_xll.qlFixedRateBond(T20,U20,V20,W20,X20,Y20,Z20,AA20,AB20,AC20,AD20,AE20)</f>
        <v>BTP_BTPS 2.25 09/01/36#0000</v>
      </c>
      <c r="T20" s="11" t="str">
        <f t="shared" si="14"/>
        <v>BTP_BTPS 2.25 09/01/36#0000</v>
      </c>
      <c r="U20" s="11"/>
      <c r="V20" s="11" t="s">
        <v>611</v>
      </c>
      <c r="W20" s="11">
        <v>2</v>
      </c>
      <c r="X20" s="11">
        <v>100</v>
      </c>
      <c r="Y20" s="11" t="str">
        <f t="shared" si="15"/>
        <v>BTPS 2.25 09/01/36#0000</v>
      </c>
      <c r="Z20" s="67">
        <f>IF(R20="BOT",0,VLOOKUP(D20,'1.DatiInputGVT'!$A$1:$S$24,19,FALSE)/100)</f>
        <v>2.2499999999999999E-2</v>
      </c>
      <c r="AA20" s="11" t="str">
        <f t="shared" si="16"/>
        <v>act/act</v>
      </c>
      <c r="AB20" s="11" t="s">
        <v>571</v>
      </c>
      <c r="AC20" s="11">
        <f t="shared" si="9"/>
        <v>100</v>
      </c>
      <c r="AD20" s="18">
        <f t="shared" si="17"/>
        <v>24351</v>
      </c>
      <c r="AE20" s="11" t="s">
        <v>157</v>
      </c>
      <c r="AF20" s="11"/>
      <c r="AG20" s="11"/>
      <c r="AH20" s="11"/>
      <c r="AI20" s="69">
        <f t="shared" si="10"/>
        <v>70</v>
      </c>
      <c r="AJ20" s="70" t="str">
        <f t="array" ref="AJ20">_xll.qlBondHelper(AK20,AL20,AM20,AN20)</f>
        <v>BTPS 2.25 09/01/36BH#0000</v>
      </c>
      <c r="AK20" s="11" t="str">
        <f t="shared" si="18"/>
        <v>BTPS 2.25 09/01/36BH</v>
      </c>
      <c r="AL20" s="11">
        <f>'1.DatiInputGVT'!M20</f>
        <v>92.07</v>
      </c>
      <c r="AM20" s="11" t="str">
        <f t="shared" si="19"/>
        <v>BTP_BTPS 2.25 09/01/36#0000</v>
      </c>
      <c r="AN20" s="11" t="b">
        <v>1</v>
      </c>
    </row>
    <row r="21" spans="1:40" x14ac:dyDescent="0.25">
      <c r="A21" t="s">
        <v>112</v>
      </c>
      <c r="C21" s="27" t="str">
        <f>_xll.qlSchedule(D21,E21,F21,G21,H21,I21,J21,K21,L21)</f>
        <v>BTPS 5% 01/09/40#0000</v>
      </c>
      <c r="D21" s="11" t="str">
        <f>+'1.DatiInputGVT'!A21</f>
        <v>BTPS 5% 01/09/40</v>
      </c>
      <c r="E21" s="18">
        <f>'3.DataAnalisi'!$A$1</f>
        <v>42790</v>
      </c>
      <c r="F21" s="18">
        <f>+'1.DatiInputGVT'!C21</f>
        <v>51380</v>
      </c>
      <c r="G21" s="11" t="str">
        <f t="shared" si="11"/>
        <v>6M</v>
      </c>
      <c r="H21" s="11" t="s">
        <v>157</v>
      </c>
      <c r="I21" s="63" t="s">
        <v>571</v>
      </c>
      <c r="J21" s="63" t="str">
        <f t="shared" si="12"/>
        <v>Unadjusted</v>
      </c>
      <c r="K21" s="63" t="s">
        <v>572</v>
      </c>
      <c r="L21" s="63" t="b">
        <v>0</v>
      </c>
      <c r="M21" s="11"/>
      <c r="N21" s="11"/>
      <c r="O21" s="11"/>
      <c r="P21" s="11"/>
      <c r="Q21" s="11"/>
      <c r="R21" s="62" t="str">
        <f t="shared" si="13"/>
        <v>BTP</v>
      </c>
      <c r="S21" s="66" t="str">
        <f>_xll.qlFixedRateBond(T21,U21,V21,W21,X21,Y21,Z21,AA21,AB21,AC21,AD21,AE21)</f>
        <v>BTP_BTPS 5% 01/09/40#0000</v>
      </c>
      <c r="T21" s="11" t="str">
        <f t="shared" si="14"/>
        <v>BTP_BTPS 5% 01/09/40#0000</v>
      </c>
      <c r="U21" s="11"/>
      <c r="V21" s="11" t="s">
        <v>611</v>
      </c>
      <c r="W21" s="11">
        <v>2</v>
      </c>
      <c r="X21" s="11">
        <v>100</v>
      </c>
      <c r="Y21" s="11" t="str">
        <f t="shared" si="15"/>
        <v>BTPS 5% 01/09/40#0000</v>
      </c>
      <c r="Z21" s="67">
        <f>IF(R21="BOT",0,VLOOKUP(D21,'1.DatiInputGVT'!$A$1:$S$24,19,FALSE)/100)</f>
        <v>0.05</v>
      </c>
      <c r="AA21" s="11" t="str">
        <f t="shared" si="16"/>
        <v>act/act</v>
      </c>
      <c r="AB21" s="11" t="s">
        <v>571</v>
      </c>
      <c r="AC21" s="11">
        <f t="shared" si="9"/>
        <v>100</v>
      </c>
      <c r="AD21" s="18">
        <f t="shared" si="17"/>
        <v>25812</v>
      </c>
      <c r="AE21" s="11" t="s">
        <v>157</v>
      </c>
      <c r="AF21" s="11"/>
      <c r="AG21" s="11"/>
      <c r="AH21" s="11"/>
      <c r="AI21" s="69">
        <f t="shared" si="10"/>
        <v>70</v>
      </c>
      <c r="AJ21" s="70" t="str">
        <f t="array" ref="AJ21">_xll.qlBondHelper(AK21,AL21,AM21,AN21)</f>
        <v>BTPS 5% 01/09/40BH#0000</v>
      </c>
      <c r="AK21" s="11" t="str">
        <f t="shared" si="18"/>
        <v>BTPS 5% 01/09/40BH</v>
      </c>
      <c r="AL21" s="11">
        <f>'1.DatiInputGVT'!M21</f>
        <v>129.38</v>
      </c>
      <c r="AM21" s="11" t="str">
        <f t="shared" si="19"/>
        <v>BTP_BTPS 5% 01/09/40#0000</v>
      </c>
      <c r="AN21" s="11" t="b">
        <v>1</v>
      </c>
    </row>
    <row r="22" spans="1:40" x14ac:dyDescent="0.25">
      <c r="A22" t="s">
        <v>113</v>
      </c>
      <c r="C22" s="27" t="str">
        <f>_xll.qlSchedule(D22,E22,F22,G22,H22,I22,J22,K22,L22)</f>
        <v>BTPS 4 3/4 01/09/44#0000</v>
      </c>
      <c r="D22" s="11" t="str">
        <f>+'1.DatiInputGVT'!A22</f>
        <v>BTPS 4 3/4 01/09/44</v>
      </c>
      <c r="E22" s="18">
        <f>'3.DataAnalisi'!$A$1</f>
        <v>42790</v>
      </c>
      <c r="F22" s="18">
        <f>+'1.DatiInputGVT'!C22</f>
        <v>52841</v>
      </c>
      <c r="G22" s="11" t="str">
        <f t="shared" si="11"/>
        <v>6M</v>
      </c>
      <c r="H22" s="11" t="s">
        <v>157</v>
      </c>
      <c r="I22" s="63" t="s">
        <v>571</v>
      </c>
      <c r="J22" s="63" t="str">
        <f t="shared" si="12"/>
        <v>Unadjusted</v>
      </c>
      <c r="K22" s="63" t="s">
        <v>572</v>
      </c>
      <c r="L22" s="63" t="b">
        <v>0</v>
      </c>
      <c r="M22" s="11"/>
      <c r="N22" s="11"/>
      <c r="O22" s="11"/>
      <c r="P22" s="11"/>
      <c r="Q22" s="11"/>
      <c r="R22" s="62" t="str">
        <f t="shared" si="13"/>
        <v>BTP</v>
      </c>
      <c r="S22" s="66" t="str">
        <f>_xll.qlFixedRateBond(T22,U22,V22,W22,X22,Y22,Z22,AA22,AB22,AC22,AD22,AE22)</f>
        <v>BTP_BTPS 4 3/4 01/09/44#0000</v>
      </c>
      <c r="T22" s="11" t="str">
        <f t="shared" si="14"/>
        <v>BTP_BTPS 4 3/4 01/09/44#0000</v>
      </c>
      <c r="U22" s="11"/>
      <c r="V22" s="11" t="s">
        <v>611</v>
      </c>
      <c r="W22" s="11">
        <v>2</v>
      </c>
      <c r="X22" s="11">
        <v>100</v>
      </c>
      <c r="Y22" s="11" t="str">
        <f t="shared" si="15"/>
        <v>BTPS 4 3/4 01/09/44#0000</v>
      </c>
      <c r="Z22" s="67">
        <f>IF(R22="BOT",0,VLOOKUP(D22,'1.DatiInputGVT'!$A$1:$S$24,19,FALSE)/100)</f>
        <v>4.7500000000000001E-2</v>
      </c>
      <c r="AA22" s="11" t="str">
        <f t="shared" si="16"/>
        <v>act/act</v>
      </c>
      <c r="AB22" s="11" t="s">
        <v>571</v>
      </c>
      <c r="AC22" s="11">
        <f t="shared" si="9"/>
        <v>100</v>
      </c>
      <c r="AD22" s="18">
        <f t="shared" si="17"/>
        <v>27273</v>
      </c>
      <c r="AE22" s="11" t="s">
        <v>157</v>
      </c>
      <c r="AF22" s="11"/>
      <c r="AG22" s="11"/>
      <c r="AH22" s="11"/>
      <c r="AI22" s="69">
        <f t="shared" si="10"/>
        <v>70</v>
      </c>
      <c r="AJ22" s="70" t="str">
        <f t="array" ref="AJ22">_xll.qlBondHelper(AK22,AL22,AM22,AN22)</f>
        <v>BTPS 4 3/4 01/09/44BH#0000</v>
      </c>
      <c r="AK22" s="11" t="str">
        <f t="shared" si="18"/>
        <v>BTPS 4 3/4 01/09/44BH</v>
      </c>
      <c r="AL22" s="11">
        <f>'1.DatiInputGVT'!M22</f>
        <v>126.145</v>
      </c>
      <c r="AM22" s="11" t="str">
        <f t="shared" si="19"/>
        <v>BTP_BTPS 4 3/4 01/09/44#0000</v>
      </c>
      <c r="AN22" s="11" t="b">
        <v>1</v>
      </c>
    </row>
    <row r="23" spans="1:40" x14ac:dyDescent="0.25">
      <c r="C23" s="27" t="str">
        <f>_xll.qlSchedule(D23,E23,F23,G23,H23,I23,J23,K23,L23)</f>
        <v>BTPS 3.25 09/01/2046#0000</v>
      </c>
      <c r="D23" s="11" t="str">
        <f>+'1.DatiInputGVT'!A23</f>
        <v>BTPS 3.25 09/01/2046</v>
      </c>
      <c r="E23" s="18">
        <f>'3.DataAnalisi'!$A$1</f>
        <v>42790</v>
      </c>
      <c r="F23" s="18">
        <f>+'1.DatiInputGVT'!C23</f>
        <v>53571</v>
      </c>
      <c r="G23" s="11" t="str">
        <f t="shared" si="11"/>
        <v>6M</v>
      </c>
      <c r="H23" s="11" t="s">
        <v>157</v>
      </c>
      <c r="I23" s="63" t="s">
        <v>571</v>
      </c>
      <c r="J23" s="63" t="str">
        <f t="shared" si="12"/>
        <v>Unadjusted</v>
      </c>
      <c r="K23" s="63" t="s">
        <v>572</v>
      </c>
      <c r="L23" s="63" t="b">
        <v>0</v>
      </c>
      <c r="M23" s="11"/>
      <c r="N23" s="11"/>
      <c r="O23" s="11"/>
      <c r="P23" s="11"/>
      <c r="Q23" s="11"/>
      <c r="R23" s="62" t="str">
        <f t="shared" si="13"/>
        <v>BTP</v>
      </c>
      <c r="S23" s="66" t="str">
        <f>_xll.qlFixedRateBond(T23,U23,V23,W23,X23,Y23,Z23,AA23,AB23,AC23,AD23,AE23)</f>
        <v>BTP_BTPS 3.25 09/01/2046#0000</v>
      </c>
      <c r="T23" s="11" t="str">
        <f t="shared" si="14"/>
        <v>BTP_BTPS 3.25 09/01/2046#0000</v>
      </c>
      <c r="U23" s="11"/>
      <c r="V23" s="11" t="s">
        <v>611</v>
      </c>
      <c r="W23" s="11">
        <v>2</v>
      </c>
      <c r="X23" s="11">
        <v>100</v>
      </c>
      <c r="Y23" s="11" t="str">
        <f t="shared" si="15"/>
        <v>BTPS 3.25 09/01/2046#0000</v>
      </c>
      <c r="Z23" s="67">
        <f>IF(R23="BOT",0,VLOOKUP(D23,'1.DatiInputGVT'!$A$1:$S$24,19,FALSE)/100)</f>
        <v>3.2500000000000001E-2</v>
      </c>
      <c r="AA23" s="11" t="str">
        <f t="shared" si="16"/>
        <v>act/act</v>
      </c>
      <c r="AB23" s="11" t="s">
        <v>571</v>
      </c>
      <c r="AC23" s="11">
        <f t="shared" si="9"/>
        <v>100</v>
      </c>
      <c r="AD23" s="18">
        <f t="shared" si="17"/>
        <v>28004</v>
      </c>
      <c r="AE23" s="11" t="s">
        <v>157</v>
      </c>
      <c r="AF23" s="11"/>
      <c r="AG23" s="11"/>
      <c r="AH23" s="11"/>
      <c r="AI23" s="69">
        <f t="shared" si="10"/>
        <v>70</v>
      </c>
      <c r="AJ23" s="70" t="str">
        <f t="array" ref="AJ23">_xll.qlBondHelper(AK23,AL23,AM23,AN23)</f>
        <v>BTPS 3.25 09/01/2046BH#0000</v>
      </c>
      <c r="AK23" s="11" t="str">
        <f t="shared" si="18"/>
        <v>BTPS 3.25 09/01/2046BH</v>
      </c>
      <c r="AL23" s="11">
        <f>'1.DatiInputGVT'!M23</f>
        <v>100.465</v>
      </c>
      <c r="AM23" s="11" t="str">
        <f t="shared" si="19"/>
        <v>BTP_BTPS 3.25 09/01/2046#0000</v>
      </c>
      <c r="AN23" s="11" t="b">
        <v>1</v>
      </c>
    </row>
    <row r="24" spans="1:40" x14ac:dyDescent="0.25">
      <c r="A24" t="s">
        <v>114</v>
      </c>
      <c r="C24" s="27" t="str">
        <f>_xll.qlSchedule(D24,E24,F24,G24,H24,I24,J24,K24,L24)</f>
        <v>BTPS 2.7% 03/01/47#0000</v>
      </c>
      <c r="D24" s="11" t="str">
        <f>+'1.DatiInputGVT'!A24</f>
        <v>BTPS 2.7% 03/01/47</v>
      </c>
      <c r="E24" s="18">
        <f>'3.DataAnalisi'!$A$1</f>
        <v>42790</v>
      </c>
      <c r="F24" s="18">
        <f>+'1.DatiInputGVT'!C24</f>
        <v>53752</v>
      </c>
      <c r="G24" s="11" t="str">
        <f t="shared" si="11"/>
        <v>6M</v>
      </c>
      <c r="H24" s="11" t="s">
        <v>157</v>
      </c>
      <c r="I24" s="63" t="s">
        <v>571</v>
      </c>
      <c r="J24" s="63" t="str">
        <f t="shared" si="12"/>
        <v>Unadjusted</v>
      </c>
      <c r="K24" s="63" t="s">
        <v>572</v>
      </c>
      <c r="L24" s="63" t="b">
        <v>0</v>
      </c>
      <c r="M24" s="11"/>
      <c r="N24" s="11"/>
      <c r="O24" s="11"/>
      <c r="P24" s="11"/>
      <c r="Q24" s="11"/>
      <c r="R24" s="62" t="str">
        <f t="shared" si="13"/>
        <v>BTP</v>
      </c>
      <c r="S24" s="66" t="str">
        <f>_xll.qlFixedRateBond(T24,U24,V24,W24,X24,Y24,Z24,AA24,AB24,AC24,AD24,AE24)</f>
        <v>BTP_BTPS 2.7% 03/01/47#0000</v>
      </c>
      <c r="T24" s="11" t="str">
        <f t="shared" si="14"/>
        <v>BTP_BTPS 2.7% 03/01/47#0000</v>
      </c>
      <c r="U24" s="11"/>
      <c r="V24" s="11" t="s">
        <v>611</v>
      </c>
      <c r="W24" s="11">
        <v>2</v>
      </c>
      <c r="X24" s="11">
        <v>100</v>
      </c>
      <c r="Y24" s="11" t="str">
        <f t="shared" si="15"/>
        <v>BTPS 2.7% 03/01/47#0000</v>
      </c>
      <c r="Z24" s="67">
        <f>IF(R24="BOT",0,VLOOKUP(D24,'1.DatiInputGVT'!$A$1:$S$24,19,FALSE)/100)</f>
        <v>2.7000000000000003E-2</v>
      </c>
      <c r="AA24" s="11" t="str">
        <f t="shared" si="16"/>
        <v>act/act</v>
      </c>
      <c r="AB24" s="11" t="s">
        <v>571</v>
      </c>
      <c r="AC24" s="11">
        <f t="shared" si="9"/>
        <v>100</v>
      </c>
      <c r="AD24" s="18">
        <f t="shared" si="17"/>
        <v>28185</v>
      </c>
      <c r="AE24" s="11" t="s">
        <v>157</v>
      </c>
      <c r="AF24" s="11"/>
      <c r="AG24" s="11"/>
      <c r="AH24" s="11"/>
      <c r="AI24" s="69">
        <f t="shared" si="10"/>
        <v>70</v>
      </c>
      <c r="AJ24" s="70" t="str">
        <f t="array" ref="AJ24">_xll.qlBondHelper(AK24,AL24,AM24,AN24)</f>
        <v>BTPS 2.7% 03/01/47BH#0000</v>
      </c>
      <c r="AK24" s="11" t="str">
        <f t="shared" si="18"/>
        <v>BTPS 2.7% 03/01/47BH</v>
      </c>
      <c r="AL24" s="11">
        <f>'1.DatiInputGVT'!M24</f>
        <v>89.87</v>
      </c>
      <c r="AM24" s="11" t="str">
        <f t="shared" si="19"/>
        <v>BTP_BTPS 2.7% 03/01/47#0000</v>
      </c>
      <c r="AN24" s="11" t="b">
        <v>1</v>
      </c>
    </row>
    <row r="25" spans="1:40" x14ac:dyDescent="0.25">
      <c r="C25" s="49"/>
      <c r="E25" s="10"/>
      <c r="F25" s="10"/>
      <c r="I25" s="61"/>
      <c r="J25" s="61"/>
      <c r="K25" s="61"/>
      <c r="L25" s="61"/>
      <c r="S25" s="65"/>
      <c r="Z25" s="60"/>
      <c r="AD25" s="10"/>
    </row>
    <row r="26" spans="1:40" x14ac:dyDescent="0.25">
      <c r="A26" t="s">
        <v>553</v>
      </c>
      <c r="C26" s="49"/>
      <c r="E26" s="10"/>
      <c r="F26" s="10"/>
      <c r="I26" s="61"/>
      <c r="J26" s="61"/>
      <c r="K26" s="61"/>
      <c r="L26" s="61"/>
      <c r="S26" s="65"/>
      <c r="Z26" s="60"/>
      <c r="AD26" s="10"/>
    </row>
    <row r="27" spans="1:40" x14ac:dyDescent="0.25">
      <c r="C27" s="49"/>
      <c r="E27" s="10"/>
      <c r="F27" s="10"/>
      <c r="I27" s="61"/>
      <c r="J27" s="61"/>
      <c r="K27" s="61"/>
      <c r="L27" s="61"/>
      <c r="S27" s="65"/>
      <c r="Z27" s="60"/>
      <c r="AD27" s="10"/>
    </row>
    <row r="28" spans="1:40" x14ac:dyDescent="0.25">
      <c r="A28" t="s">
        <v>116</v>
      </c>
      <c r="C28" s="49"/>
      <c r="E28" s="10"/>
      <c r="F28" s="10"/>
      <c r="I28" s="61"/>
      <c r="J28" s="61"/>
      <c r="K28" s="61"/>
      <c r="L28" s="61"/>
      <c r="S28" s="65"/>
      <c r="Z28" s="60"/>
      <c r="AD28" s="10"/>
    </row>
    <row r="29" spans="1:40" x14ac:dyDescent="0.25">
      <c r="C29" s="49"/>
      <c r="E29" s="10"/>
      <c r="F29" s="10"/>
      <c r="I29" s="61"/>
      <c r="J29" s="61"/>
      <c r="K29" s="61"/>
      <c r="L29" s="61"/>
      <c r="S29" s="65"/>
      <c r="Z29" s="60"/>
      <c r="AD29" s="10"/>
    </row>
    <row r="30" spans="1:40" x14ac:dyDescent="0.25">
      <c r="A30" t="s">
        <v>117</v>
      </c>
      <c r="C30" s="49"/>
      <c r="E30" s="10"/>
      <c r="F30" s="10"/>
      <c r="I30" s="61"/>
      <c r="J30" s="61"/>
      <c r="K30" s="61"/>
      <c r="L30" s="61"/>
    </row>
    <row r="31" spans="1:40" x14ac:dyDescent="0.25">
      <c r="C31" s="49"/>
      <c r="E31" s="10"/>
      <c r="F31" s="10"/>
      <c r="I31" s="61"/>
      <c r="J31" s="61"/>
      <c r="K31" s="61"/>
      <c r="L31" s="61"/>
    </row>
    <row r="32" spans="1:40" x14ac:dyDescent="0.25">
      <c r="A32" t="s">
        <v>118</v>
      </c>
      <c r="C32" s="49"/>
      <c r="E32" s="10"/>
      <c r="F32" s="10"/>
      <c r="I32" s="61"/>
      <c r="J32" s="61"/>
      <c r="K32" s="61"/>
      <c r="L32" s="61"/>
    </row>
    <row r="33" spans="1:2" x14ac:dyDescent="0.25">
      <c r="A33" s="14" t="s">
        <v>119</v>
      </c>
      <c r="B33" s="14"/>
    </row>
    <row r="34" spans="1:2" x14ac:dyDescent="0.25">
      <c r="A34" s="14" t="s">
        <v>554</v>
      </c>
      <c r="B34" s="14" t="s">
        <v>555</v>
      </c>
    </row>
    <row r="35" spans="1:2" x14ac:dyDescent="0.25">
      <c r="A35" s="14" t="s">
        <v>556</v>
      </c>
      <c r="B35" s="14" t="s">
        <v>557</v>
      </c>
    </row>
    <row r="36" spans="1:2" ht="30" x14ac:dyDescent="0.25">
      <c r="A36" s="14" t="s">
        <v>144</v>
      </c>
      <c r="B36" s="14" t="s">
        <v>558</v>
      </c>
    </row>
    <row r="37" spans="1:2" ht="30" x14ac:dyDescent="0.25">
      <c r="A37" s="14" t="s">
        <v>148</v>
      </c>
      <c r="B37" s="14" t="s">
        <v>559</v>
      </c>
    </row>
    <row r="38" spans="1:2" ht="30" x14ac:dyDescent="0.25">
      <c r="A38" s="14" t="s">
        <v>150</v>
      </c>
      <c r="B38" s="14" t="s">
        <v>560</v>
      </c>
    </row>
    <row r="39" spans="1:2" ht="30" x14ac:dyDescent="0.25">
      <c r="A39" s="14" t="s">
        <v>561</v>
      </c>
      <c r="B39" s="14" t="s">
        <v>562</v>
      </c>
    </row>
    <row r="40" spans="1:2" ht="45" x14ac:dyDescent="0.25">
      <c r="A40" s="14" t="s">
        <v>563</v>
      </c>
      <c r="B40" s="14" t="s">
        <v>564</v>
      </c>
    </row>
    <row r="41" spans="1:2" ht="30" x14ac:dyDescent="0.25">
      <c r="A41" s="14" t="s">
        <v>152</v>
      </c>
      <c r="B41" s="14" t="s">
        <v>565</v>
      </c>
    </row>
    <row r="42" spans="1:2" ht="30" x14ac:dyDescent="0.25">
      <c r="A42" s="14" t="s">
        <v>566</v>
      </c>
      <c r="B42" s="14" t="s">
        <v>567</v>
      </c>
    </row>
    <row r="43" spans="1:2" ht="30" x14ac:dyDescent="0.25">
      <c r="A43" s="14" t="s">
        <v>568</v>
      </c>
      <c r="B43" s="14" t="s">
        <v>569</v>
      </c>
    </row>
    <row r="44" spans="1:2" x14ac:dyDescent="0.25">
      <c r="A44" s="14" t="s">
        <v>123</v>
      </c>
      <c r="B44" s="14" t="s">
        <v>124</v>
      </c>
    </row>
    <row r="45" spans="1:2" x14ac:dyDescent="0.25">
      <c r="A45" s="14" t="s">
        <v>125</v>
      </c>
      <c r="B45" s="14" t="s">
        <v>126</v>
      </c>
    </row>
    <row r="46" spans="1:2" x14ac:dyDescent="0.25">
      <c r="A46" s="14" t="s">
        <v>127</v>
      </c>
      <c r="B46" s="14" t="s">
        <v>128</v>
      </c>
    </row>
    <row r="50" spans="1:1" x14ac:dyDescent="0.25">
      <c r="A50" t="s">
        <v>576</v>
      </c>
    </row>
    <row r="51" spans="1:1" x14ac:dyDescent="0.25">
      <c r="A51" s="13" t="s">
        <v>577</v>
      </c>
    </row>
    <row r="53" spans="1:1" x14ac:dyDescent="0.25">
      <c r="A53" t="s">
        <v>107</v>
      </c>
    </row>
    <row r="54" spans="1:1" x14ac:dyDescent="0.25">
      <c r="A54" t="s">
        <v>578</v>
      </c>
    </row>
    <row r="55" spans="1:1" x14ac:dyDescent="0.25">
      <c r="A55" t="s">
        <v>109</v>
      </c>
    </row>
    <row r="56" spans="1:1" x14ac:dyDescent="0.25">
      <c r="A56" t="s">
        <v>579</v>
      </c>
    </row>
    <row r="57" spans="1:1" x14ac:dyDescent="0.25">
      <c r="A57" t="s">
        <v>580</v>
      </c>
    </row>
    <row r="58" spans="1:1" x14ac:dyDescent="0.25">
      <c r="A58" t="s">
        <v>581</v>
      </c>
    </row>
    <row r="59" spans="1:1" x14ac:dyDescent="0.25">
      <c r="A59" t="s">
        <v>582</v>
      </c>
    </row>
    <row r="60" spans="1:1" x14ac:dyDescent="0.25">
      <c r="A60" t="s">
        <v>583</v>
      </c>
    </row>
    <row r="61" spans="1:1" x14ac:dyDescent="0.25">
      <c r="A61" t="s">
        <v>584</v>
      </c>
    </row>
    <row r="62" spans="1:1" x14ac:dyDescent="0.25">
      <c r="A62" t="s">
        <v>140</v>
      </c>
    </row>
    <row r="63" spans="1:1" x14ac:dyDescent="0.25">
      <c r="A63" t="s">
        <v>585</v>
      </c>
    </row>
    <row r="64" spans="1:1" x14ac:dyDescent="0.25">
      <c r="A64" t="s">
        <v>586</v>
      </c>
    </row>
    <row r="65" spans="1:2" x14ac:dyDescent="0.25">
      <c r="A65" t="s">
        <v>587</v>
      </c>
    </row>
    <row r="66" spans="1:2" x14ac:dyDescent="0.25">
      <c r="A66" t="s">
        <v>588</v>
      </c>
    </row>
    <row r="67" spans="1:2" x14ac:dyDescent="0.25">
      <c r="A67" t="s">
        <v>111</v>
      </c>
    </row>
    <row r="68" spans="1:2" x14ac:dyDescent="0.25">
      <c r="A68" t="s">
        <v>112</v>
      </c>
    </row>
    <row r="69" spans="1:2" x14ac:dyDescent="0.25">
      <c r="A69" t="s">
        <v>113</v>
      </c>
    </row>
    <row r="71" spans="1:2" x14ac:dyDescent="0.25">
      <c r="A71" t="s">
        <v>114</v>
      </c>
    </row>
    <row r="73" spans="1:2" x14ac:dyDescent="0.25">
      <c r="A73" t="s">
        <v>589</v>
      </c>
    </row>
    <row r="75" spans="1:2" x14ac:dyDescent="0.25">
      <c r="A75" t="s">
        <v>116</v>
      </c>
    </row>
    <row r="77" spans="1:2" x14ac:dyDescent="0.25">
      <c r="A77" t="s">
        <v>117</v>
      </c>
    </row>
    <row r="79" spans="1:2" x14ac:dyDescent="0.25">
      <c r="A79" t="s">
        <v>118</v>
      </c>
    </row>
    <row r="80" spans="1:2" x14ac:dyDescent="0.25">
      <c r="A80" s="14" t="s">
        <v>119</v>
      </c>
      <c r="B80" s="14" t="s">
        <v>120</v>
      </c>
    </row>
    <row r="81" spans="1:2" ht="30" x14ac:dyDescent="0.25">
      <c r="A81" s="14" t="s">
        <v>0</v>
      </c>
      <c r="B81" s="14" t="s">
        <v>590</v>
      </c>
    </row>
    <row r="82" spans="1:2" x14ac:dyDescent="0.25">
      <c r="A82" s="14" t="s">
        <v>591</v>
      </c>
      <c r="B82" s="14" t="s">
        <v>592</v>
      </c>
    </row>
    <row r="83" spans="1:2" x14ac:dyDescent="0.25">
      <c r="A83" s="14" t="s">
        <v>593</v>
      </c>
      <c r="B83" s="14" t="s">
        <v>594</v>
      </c>
    </row>
    <row r="84" spans="1:2" x14ac:dyDescent="0.25">
      <c r="A84" s="14" t="s">
        <v>595</v>
      </c>
      <c r="B84" s="14" t="s">
        <v>596</v>
      </c>
    </row>
    <row r="85" spans="1:2" x14ac:dyDescent="0.25">
      <c r="A85" s="14" t="s">
        <v>597</v>
      </c>
      <c r="B85" s="14" t="s">
        <v>598</v>
      </c>
    </row>
    <row r="86" spans="1:2" x14ac:dyDescent="0.25">
      <c r="A86" s="14" t="s">
        <v>599</v>
      </c>
      <c r="B86" s="14" t="s">
        <v>600</v>
      </c>
    </row>
    <row r="87" spans="1:2" x14ac:dyDescent="0.25">
      <c r="A87" s="14" t="s">
        <v>154</v>
      </c>
      <c r="B87" s="14" t="s">
        <v>601</v>
      </c>
    </row>
    <row r="88" spans="1:2" ht="30" x14ac:dyDescent="0.25">
      <c r="A88" s="14" t="s">
        <v>602</v>
      </c>
      <c r="B88" s="14" t="s">
        <v>603</v>
      </c>
    </row>
    <row r="89" spans="1:2" x14ac:dyDescent="0.25">
      <c r="A89" s="14" t="s">
        <v>604</v>
      </c>
      <c r="B89" s="14" t="s">
        <v>605</v>
      </c>
    </row>
    <row r="90" spans="1:2" ht="30" x14ac:dyDescent="0.25">
      <c r="A90" s="14" t="s">
        <v>606</v>
      </c>
      <c r="B90" s="14" t="s">
        <v>607</v>
      </c>
    </row>
    <row r="91" spans="1:2" x14ac:dyDescent="0.25">
      <c r="A91" s="14" t="s">
        <v>608</v>
      </c>
      <c r="B91" s="14" t="s">
        <v>609</v>
      </c>
    </row>
    <row r="92" spans="1:2" x14ac:dyDescent="0.25">
      <c r="A92" s="14" t="s">
        <v>123</v>
      </c>
      <c r="B92" s="14" t="s">
        <v>124</v>
      </c>
    </row>
    <row r="93" spans="1:2" x14ac:dyDescent="0.25">
      <c r="A93" s="14" t="s">
        <v>125</v>
      </c>
      <c r="B93" s="14" t="s">
        <v>126</v>
      </c>
    </row>
    <row r="94" spans="1:2" x14ac:dyDescent="0.25">
      <c r="A94" s="14" t="s">
        <v>127</v>
      </c>
      <c r="B94" s="14" t="s">
        <v>128</v>
      </c>
    </row>
    <row r="100" spans="1:1" x14ac:dyDescent="0.25">
      <c r="A100" s="13" t="s">
        <v>613</v>
      </c>
    </row>
    <row r="102" spans="1:1" x14ac:dyDescent="0.25">
      <c r="A102" t="s">
        <v>107</v>
      </c>
    </row>
    <row r="103" spans="1:1" x14ac:dyDescent="0.25">
      <c r="A103" t="s">
        <v>614</v>
      </c>
    </row>
    <row r="104" spans="1:1" x14ac:dyDescent="0.25">
      <c r="A104" t="s">
        <v>109</v>
      </c>
    </row>
    <row r="105" spans="1:1" x14ac:dyDescent="0.25">
      <c r="A105" t="s">
        <v>615</v>
      </c>
    </row>
    <row r="106" spans="1:1" x14ac:dyDescent="0.25">
      <c r="A106" t="s">
        <v>616</v>
      </c>
    </row>
    <row r="107" spans="1:1" x14ac:dyDescent="0.25">
      <c r="A107" t="s">
        <v>617</v>
      </c>
    </row>
    <row r="108" spans="1:1" x14ac:dyDescent="0.25">
      <c r="A108" t="s">
        <v>111</v>
      </c>
    </row>
    <row r="109" spans="1:1" x14ac:dyDescent="0.25">
      <c r="A109" t="s">
        <v>112</v>
      </c>
    </row>
    <row r="110" spans="1:1" x14ac:dyDescent="0.25">
      <c r="A110" t="s">
        <v>113</v>
      </c>
    </row>
    <row r="112" spans="1:1" x14ac:dyDescent="0.25">
      <c r="A112" t="s">
        <v>114</v>
      </c>
    </row>
    <row r="114" spans="1:2" x14ac:dyDescent="0.25">
      <c r="A114" t="s">
        <v>618</v>
      </c>
    </row>
    <row r="116" spans="1:2" x14ac:dyDescent="0.25">
      <c r="A116" t="s">
        <v>116</v>
      </c>
    </row>
    <row r="118" spans="1:2" x14ac:dyDescent="0.25">
      <c r="A118" t="s">
        <v>117</v>
      </c>
    </row>
    <row r="120" spans="1:2" x14ac:dyDescent="0.25">
      <c r="A120" t="s">
        <v>118</v>
      </c>
    </row>
    <row r="121" spans="1:2" x14ac:dyDescent="0.25">
      <c r="A121" s="14" t="s">
        <v>119</v>
      </c>
      <c r="B121" s="14" t="s">
        <v>120</v>
      </c>
    </row>
    <row r="122" spans="1:2" x14ac:dyDescent="0.25">
      <c r="A122" s="14" t="s">
        <v>503</v>
      </c>
      <c r="B122" s="14" t="s">
        <v>619</v>
      </c>
    </row>
    <row r="123" spans="1:2" x14ac:dyDescent="0.25">
      <c r="A123" s="14" t="s">
        <v>620</v>
      </c>
      <c r="B123" s="14" t="s">
        <v>621</v>
      </c>
    </row>
    <row r="124" spans="1:2" ht="30" x14ac:dyDescent="0.25">
      <c r="A124" s="14" t="s">
        <v>622</v>
      </c>
      <c r="B124" s="14" t="s">
        <v>623</v>
      </c>
    </row>
    <row r="125" spans="1:2" x14ac:dyDescent="0.25">
      <c r="A125" s="14" t="s">
        <v>123</v>
      </c>
      <c r="B125" s="14" t="s">
        <v>124</v>
      </c>
    </row>
    <row r="126" spans="1:2" x14ac:dyDescent="0.25">
      <c r="A126" s="14" t="s">
        <v>125</v>
      </c>
      <c r="B126" s="14" t="s">
        <v>126</v>
      </c>
    </row>
    <row r="127" spans="1:2" x14ac:dyDescent="0.25">
      <c r="A127" s="14" t="s">
        <v>127</v>
      </c>
      <c r="B127" s="14" t="s">
        <v>128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showGridLines="0" zoomScale="80" zoomScaleNormal="80" workbookViewId="0">
      <selection activeCell="E16" sqref="E16"/>
    </sheetView>
  </sheetViews>
  <sheetFormatPr defaultRowHeight="15" x14ac:dyDescent="0.25"/>
  <cols>
    <col min="1" max="1" width="18.140625" bestFit="1" customWidth="1"/>
    <col min="2" max="2" width="13.140625" bestFit="1" customWidth="1"/>
    <col min="3" max="3" width="10.5703125" style="16" bestFit="1" customWidth="1"/>
    <col min="7" max="7" width="29.42578125" customWidth="1"/>
    <col min="8" max="8" width="12.42578125" bestFit="1" customWidth="1"/>
    <col min="9" max="9" width="11.42578125" bestFit="1" customWidth="1"/>
    <col min="10" max="10" width="10.85546875" bestFit="1" customWidth="1"/>
    <col min="11" max="11" width="10.7109375" bestFit="1" customWidth="1"/>
    <col min="15" max="15" width="10" bestFit="1" customWidth="1"/>
    <col min="16" max="16" width="27.140625" customWidth="1"/>
    <col min="17" max="17" width="36.5703125" customWidth="1"/>
  </cols>
  <sheetData>
    <row r="1" spans="1:18" x14ac:dyDescent="0.25">
      <c r="A1" s="51" t="s">
        <v>162</v>
      </c>
      <c r="B1" s="51" t="s">
        <v>119</v>
      </c>
      <c r="C1" s="52" t="s">
        <v>142</v>
      </c>
      <c r="D1" s="51" t="s">
        <v>428</v>
      </c>
      <c r="E1" s="51" t="s">
        <v>430</v>
      </c>
      <c r="F1" s="51" t="s">
        <v>146</v>
      </c>
      <c r="G1" s="51" t="s">
        <v>148</v>
      </c>
      <c r="H1" s="51" t="s">
        <v>150</v>
      </c>
      <c r="I1" s="51" t="s">
        <v>152</v>
      </c>
      <c r="J1" s="51" t="s">
        <v>154</v>
      </c>
      <c r="K1" s="51" t="s">
        <v>432</v>
      </c>
      <c r="L1" s="51" t="s">
        <v>434</v>
      </c>
      <c r="M1" s="51" t="s">
        <v>123</v>
      </c>
      <c r="N1" s="51" t="s">
        <v>125</v>
      </c>
      <c r="O1" s="52" t="s">
        <v>127</v>
      </c>
      <c r="P1" s="13" t="s">
        <v>421</v>
      </c>
      <c r="R1" s="13"/>
    </row>
    <row r="2" spans="1:18" x14ac:dyDescent="0.25">
      <c r="A2" s="27" t="str">
        <f t="array" ref="A2">_xll.qlFraRateHelper2(B2,C2,D2,E2,F2,G2,H2,I2,J2,K2)</f>
        <v>SW6_3m_9m#0000</v>
      </c>
      <c r="B2" s="11" t="s">
        <v>436</v>
      </c>
      <c r="C2" s="42">
        <f>+'1.DatiInput_Swap6M'!O3/100</f>
        <v>-2.0799999999999998E-3</v>
      </c>
      <c r="D2" s="11" t="s">
        <v>184</v>
      </c>
      <c r="E2" s="11">
        <v>6</v>
      </c>
      <c r="F2" s="11">
        <v>2</v>
      </c>
      <c r="G2" s="11" t="s">
        <v>157</v>
      </c>
      <c r="H2" s="11" t="s">
        <v>158</v>
      </c>
      <c r="I2" s="11" t="b">
        <v>1</v>
      </c>
      <c r="J2" s="11" t="s">
        <v>159</v>
      </c>
      <c r="K2" s="18"/>
      <c r="L2" s="11"/>
      <c r="M2" s="11"/>
      <c r="N2" s="11"/>
      <c r="O2" s="11"/>
    </row>
    <row r="3" spans="1:18" s="49" customFormat="1" x14ac:dyDescent="0.25">
      <c r="A3" s="27" t="str">
        <f t="array" ref="A3">_xll.qlFraRateHelper2(B3,C3,D3,E3,F3,G3,H3,I3,J3,K3)</f>
        <v>SW6_6m_1y#0000</v>
      </c>
      <c r="B3" s="11" t="s">
        <v>437</v>
      </c>
      <c r="C3" s="42">
        <f>+'1.DatiInput_Swap6M'!O4/100</f>
        <v>-1.7799999999999999E-3</v>
      </c>
      <c r="D3" s="11" t="s">
        <v>187</v>
      </c>
      <c r="E3" s="11">
        <v>6</v>
      </c>
      <c r="F3" s="11">
        <v>2</v>
      </c>
      <c r="G3" s="11" t="s">
        <v>157</v>
      </c>
      <c r="H3" s="11" t="s">
        <v>158</v>
      </c>
      <c r="I3" s="11" t="b">
        <v>1</v>
      </c>
      <c r="J3" s="11" t="str">
        <f>+J2</f>
        <v>Actual/360</v>
      </c>
      <c r="K3" s="18"/>
      <c r="L3" s="11"/>
      <c r="M3" s="11"/>
      <c r="N3" s="11"/>
      <c r="O3" s="11"/>
      <c r="P3" t="s">
        <v>107</v>
      </c>
      <c r="Q3"/>
    </row>
    <row r="4" spans="1:18" s="49" customFormat="1" x14ac:dyDescent="0.25">
      <c r="A4" s="27" t="str">
        <f t="array" ref="A4">_xll.qlFraRateHelper2(B4,C4,D4,E4,F4,G4,H4,I4,J4,K4)</f>
        <v>SW6_1Y_18M#0000</v>
      </c>
      <c r="B4" s="11" t="s">
        <v>438</v>
      </c>
      <c r="C4" s="42">
        <f>+'1.DatiInput_Swap6M'!O5/100</f>
        <v>-1.2999999999999999E-3</v>
      </c>
      <c r="D4" s="11" t="s">
        <v>19</v>
      </c>
      <c r="E4" s="11">
        <v>6</v>
      </c>
      <c r="F4" s="11">
        <v>2</v>
      </c>
      <c r="G4" s="11" t="s">
        <v>157</v>
      </c>
      <c r="H4" s="11" t="s">
        <v>158</v>
      </c>
      <c r="I4" s="11" t="b">
        <v>1</v>
      </c>
      <c r="J4" s="11" t="str">
        <f>+J3</f>
        <v>Actual/360</v>
      </c>
      <c r="K4" s="18"/>
      <c r="L4" s="11"/>
      <c r="M4" s="11"/>
      <c r="N4" s="11"/>
      <c r="O4" s="11"/>
      <c r="P4" t="s">
        <v>422</v>
      </c>
      <c r="Q4"/>
    </row>
    <row r="5" spans="1:18" s="49" customFormat="1" x14ac:dyDescent="0.25">
      <c r="A5" s="27" t="str">
        <f t="array" ref="A5">_xll.qlFraRateHelper2(B5,C5,D5,E5,F5,G5,H5,I5,J5,K5)</f>
        <v>SW6_18M_1Y#0000</v>
      </c>
      <c r="B5" s="11" t="s">
        <v>439</v>
      </c>
      <c r="C5" s="42">
        <f>+'1.DatiInput_Swap6M'!O6/100</f>
        <v>-7.7999999999999999E-4</v>
      </c>
      <c r="D5" s="11" t="s">
        <v>195</v>
      </c>
      <c r="E5" s="11">
        <v>6</v>
      </c>
      <c r="F5" s="11">
        <v>2</v>
      </c>
      <c r="G5" s="11" t="s">
        <v>157</v>
      </c>
      <c r="H5" s="11" t="s">
        <v>158</v>
      </c>
      <c r="I5" s="11" t="b">
        <v>1</v>
      </c>
      <c r="J5" s="11" t="str">
        <f>+J4</f>
        <v>Actual/360</v>
      </c>
      <c r="K5" s="18"/>
      <c r="L5" s="11"/>
      <c r="M5" s="11"/>
      <c r="N5" s="11"/>
      <c r="O5" s="11"/>
      <c r="P5" t="s">
        <v>109</v>
      </c>
      <c r="Q5"/>
    </row>
    <row r="6" spans="1:18" s="49" customFormat="1" x14ac:dyDescent="0.25">
      <c r="C6" s="50"/>
      <c r="P6" t="s">
        <v>134</v>
      </c>
      <c r="Q6"/>
    </row>
    <row r="7" spans="1:18" s="49" customFormat="1" x14ac:dyDescent="0.25">
      <c r="C7" s="50"/>
      <c r="P7" t="s">
        <v>423</v>
      </c>
      <c r="Q7"/>
    </row>
    <row r="8" spans="1:18" s="49" customFormat="1" x14ac:dyDescent="0.25">
      <c r="C8" s="50"/>
      <c r="P8" t="s">
        <v>424</v>
      </c>
      <c r="Q8"/>
    </row>
    <row r="9" spans="1:18" s="49" customFormat="1" x14ac:dyDescent="0.25">
      <c r="C9" s="50"/>
      <c r="P9" t="s">
        <v>136</v>
      </c>
      <c r="Q9"/>
    </row>
    <row r="10" spans="1:18" s="49" customFormat="1" x14ac:dyDescent="0.25">
      <c r="C10" s="50"/>
      <c r="P10" t="s">
        <v>137</v>
      </c>
      <c r="Q10"/>
    </row>
    <row r="11" spans="1:18" s="49" customFormat="1" x14ac:dyDescent="0.25">
      <c r="C11" s="50"/>
      <c r="P11" t="s">
        <v>138</v>
      </c>
      <c r="Q11"/>
    </row>
    <row r="12" spans="1:18" s="49" customFormat="1" x14ac:dyDescent="0.25">
      <c r="C12" s="50"/>
      <c r="P12" t="s">
        <v>139</v>
      </c>
      <c r="Q12"/>
    </row>
    <row r="13" spans="1:18" s="49" customFormat="1" x14ac:dyDescent="0.25">
      <c r="C13" s="50"/>
      <c r="P13" t="s">
        <v>140</v>
      </c>
      <c r="Q13"/>
    </row>
    <row r="14" spans="1:18" s="49" customFormat="1" x14ac:dyDescent="0.25">
      <c r="C14" s="50"/>
      <c r="P14" t="s">
        <v>425</v>
      </c>
      <c r="Q14"/>
    </row>
    <row r="15" spans="1:18" s="49" customFormat="1" x14ac:dyDescent="0.25">
      <c r="C15" s="50"/>
      <c r="P15" t="s">
        <v>426</v>
      </c>
      <c r="Q15"/>
    </row>
    <row r="16" spans="1:18" s="49" customFormat="1" x14ac:dyDescent="0.25">
      <c r="C16" s="50"/>
      <c r="P16" t="s">
        <v>111</v>
      </c>
      <c r="Q16"/>
    </row>
    <row r="17" spans="3:17" s="49" customFormat="1" x14ac:dyDescent="0.25">
      <c r="C17" s="50"/>
      <c r="P17" t="s">
        <v>112</v>
      </c>
      <c r="Q17"/>
    </row>
    <row r="18" spans="3:17" s="49" customFormat="1" x14ac:dyDescent="0.25">
      <c r="C18" s="50"/>
      <c r="P18" t="s">
        <v>113</v>
      </c>
      <c r="Q18"/>
    </row>
    <row r="19" spans="3:17" s="49" customFormat="1" x14ac:dyDescent="0.25">
      <c r="C19" s="50"/>
      <c r="P19"/>
      <c r="Q19"/>
    </row>
    <row r="20" spans="3:17" x14ac:dyDescent="0.25">
      <c r="P20" t="s">
        <v>114</v>
      </c>
    </row>
    <row r="22" spans="3:17" x14ac:dyDescent="0.25">
      <c r="P22" t="s">
        <v>427</v>
      </c>
    </row>
    <row r="24" spans="3:17" x14ac:dyDescent="0.25">
      <c r="P24" t="s">
        <v>116</v>
      </c>
    </row>
    <row r="26" spans="3:17" x14ac:dyDescent="0.25">
      <c r="P26" t="s">
        <v>117</v>
      </c>
    </row>
    <row r="28" spans="3:17" x14ac:dyDescent="0.25">
      <c r="P28" t="s">
        <v>118</v>
      </c>
    </row>
    <row r="29" spans="3:17" x14ac:dyDescent="0.25">
      <c r="P29" s="14" t="s">
        <v>119</v>
      </c>
      <c r="Q29" s="14" t="s">
        <v>120</v>
      </c>
    </row>
    <row r="30" spans="3:17" x14ac:dyDescent="0.25">
      <c r="P30" s="14" t="s">
        <v>142</v>
      </c>
      <c r="Q30" s="14" t="s">
        <v>174</v>
      </c>
    </row>
    <row r="31" spans="3:17" x14ac:dyDescent="0.25">
      <c r="P31" s="14" t="s">
        <v>428</v>
      </c>
      <c r="Q31" s="14" t="s">
        <v>429</v>
      </c>
    </row>
    <row r="32" spans="3:17" x14ac:dyDescent="0.25">
      <c r="P32" s="14" t="s">
        <v>430</v>
      </c>
      <c r="Q32" s="14" t="s">
        <v>431</v>
      </c>
    </row>
    <row r="33" spans="16:17" x14ac:dyDescent="0.25">
      <c r="P33" s="14" t="s">
        <v>146</v>
      </c>
      <c r="Q33" s="14" t="s">
        <v>147</v>
      </c>
    </row>
    <row r="34" spans="16:17" x14ac:dyDescent="0.25">
      <c r="P34" s="14" t="s">
        <v>148</v>
      </c>
      <c r="Q34" s="14" t="s">
        <v>149</v>
      </c>
    </row>
    <row r="35" spans="16:17" ht="30" x14ac:dyDescent="0.25">
      <c r="P35" s="14" t="s">
        <v>150</v>
      </c>
      <c r="Q35" s="14" t="s">
        <v>151</v>
      </c>
    </row>
    <row r="36" spans="16:17" ht="45" x14ac:dyDescent="0.25">
      <c r="P36" s="14" t="s">
        <v>152</v>
      </c>
      <c r="Q36" s="14" t="s">
        <v>153</v>
      </c>
    </row>
    <row r="37" spans="16:17" x14ac:dyDescent="0.25">
      <c r="P37" s="14" t="s">
        <v>154</v>
      </c>
      <c r="Q37" s="14" t="s">
        <v>155</v>
      </c>
    </row>
    <row r="38" spans="16:17" ht="45" x14ac:dyDescent="0.25">
      <c r="P38" s="14" t="s">
        <v>432</v>
      </c>
      <c r="Q38" s="14" t="s">
        <v>433</v>
      </c>
    </row>
    <row r="39" spans="16:17" ht="30" x14ac:dyDescent="0.25">
      <c r="P39" s="14" t="s">
        <v>434</v>
      </c>
      <c r="Q39" s="14" t="s">
        <v>435</v>
      </c>
    </row>
    <row r="40" spans="16:17" x14ac:dyDescent="0.25">
      <c r="P40" s="14" t="s">
        <v>123</v>
      </c>
      <c r="Q40" s="14" t="s">
        <v>124</v>
      </c>
    </row>
    <row r="41" spans="16:17" x14ac:dyDescent="0.25">
      <c r="P41" s="14" t="s">
        <v>125</v>
      </c>
      <c r="Q41" s="14" t="s">
        <v>126</v>
      </c>
    </row>
    <row r="42" spans="16:17" x14ac:dyDescent="0.25">
      <c r="P42" s="14" t="s">
        <v>127</v>
      </c>
      <c r="Q42" s="14" t="s">
        <v>128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showGridLines="0" workbookViewId="0">
      <selection activeCell="F29" sqref="F29"/>
    </sheetView>
  </sheetViews>
  <sheetFormatPr defaultRowHeight="15" x14ac:dyDescent="0.25"/>
  <cols>
    <col min="1" max="1" width="60" bestFit="1" customWidth="1"/>
    <col min="2" max="2" width="32.140625" bestFit="1" customWidth="1"/>
    <col min="3" max="3" width="8.5703125" bestFit="1" customWidth="1"/>
    <col min="4" max="4" width="6.5703125" bestFit="1" customWidth="1"/>
    <col min="5" max="5" width="8.85546875" bestFit="1" customWidth="1"/>
    <col min="6" max="6" width="11.85546875" bestFit="1" customWidth="1"/>
    <col min="7" max="7" width="11.42578125" bestFit="1" customWidth="1"/>
    <col min="8" max="8" width="6.5703125" bestFit="1" customWidth="1"/>
    <col min="9" max="9" width="10.7109375" bestFit="1" customWidth="1"/>
    <col min="10" max="10" width="8.7109375" bestFit="1" customWidth="1"/>
    <col min="11" max="11" width="7.7109375" bestFit="1" customWidth="1"/>
    <col min="12" max="12" width="13.7109375" bestFit="1" customWidth="1"/>
    <col min="13" max="13" width="10.85546875" bestFit="1" customWidth="1"/>
    <col min="14" max="14" width="7.140625" bestFit="1" customWidth="1"/>
    <col min="15" max="15" width="10" bestFit="1" customWidth="1"/>
  </cols>
  <sheetData>
    <row r="1" spans="1:15" x14ac:dyDescent="0.25">
      <c r="A1" s="13" t="s">
        <v>245</v>
      </c>
      <c r="B1" s="11" t="s">
        <v>273</v>
      </c>
      <c r="C1" s="11" t="s">
        <v>119</v>
      </c>
      <c r="D1" s="11" t="s">
        <v>254</v>
      </c>
      <c r="E1" s="11" t="s">
        <v>148</v>
      </c>
      <c r="F1" s="11" t="s">
        <v>229</v>
      </c>
      <c r="G1" s="11" t="s">
        <v>154</v>
      </c>
      <c r="H1" s="11" t="s">
        <v>259</v>
      </c>
      <c r="I1" s="11" t="s">
        <v>261</v>
      </c>
      <c r="J1" s="11" t="s">
        <v>263</v>
      </c>
      <c r="K1" s="11" t="s">
        <v>265</v>
      </c>
      <c r="L1" s="11" t="s">
        <v>267</v>
      </c>
      <c r="M1" s="11" t="s">
        <v>123</v>
      </c>
      <c r="N1" s="11" t="s">
        <v>125</v>
      </c>
      <c r="O1" s="11" t="s">
        <v>127</v>
      </c>
    </row>
    <row r="2" spans="1:15" x14ac:dyDescent="0.25">
      <c r="B2" s="11" t="str">
        <f t="array" ref="B2">_xll.qlPiecewiseYieldCurve(C2,D2,E2,F2:F24,G2,,,,,L2)</f>
        <v>CurvaGovernativaItalia#0000</v>
      </c>
      <c r="C2" s="11" t="s">
        <v>625</v>
      </c>
      <c r="D2" s="11">
        <v>2</v>
      </c>
      <c r="E2" s="11" t="s">
        <v>157</v>
      </c>
      <c r="F2" s="11" t="str">
        <f>+'5.TassiGovernativi'!AJ2</f>
        <v>BOTS 0 10/13/2017BH#0000</v>
      </c>
      <c r="G2" s="11" t="s">
        <v>626</v>
      </c>
      <c r="H2" s="11"/>
      <c r="I2" s="11"/>
      <c r="J2" s="11"/>
      <c r="K2" s="11"/>
      <c r="L2" s="11" t="s">
        <v>480</v>
      </c>
      <c r="M2" s="11"/>
      <c r="N2" s="11"/>
      <c r="O2" s="11"/>
    </row>
    <row r="3" spans="1:15" x14ac:dyDescent="0.25">
      <c r="A3" t="s">
        <v>107</v>
      </c>
      <c r="B3" s="11"/>
      <c r="C3" s="11"/>
      <c r="D3" s="11"/>
      <c r="E3" s="11"/>
      <c r="F3" s="11" t="str">
        <f>+'5.TassiGovernativi'!AJ3</f>
        <v>BTPS 4 1/2 03/19BH#0000</v>
      </c>
      <c r="G3" s="11"/>
      <c r="H3" s="11"/>
      <c r="I3" s="11"/>
      <c r="J3" s="11"/>
      <c r="K3" s="11"/>
      <c r="L3" s="11"/>
      <c r="M3" s="11"/>
      <c r="N3" s="11"/>
      <c r="O3" s="11"/>
    </row>
    <row r="4" spans="1:15" x14ac:dyDescent="0.25">
      <c r="A4" t="s">
        <v>246</v>
      </c>
      <c r="B4" s="11"/>
      <c r="C4" s="11"/>
      <c r="D4" s="11"/>
      <c r="E4" s="11"/>
      <c r="F4" s="11" t="str">
        <f>+'5.TassiGovernativi'!AJ4</f>
        <v>BTPS 0.65 11/01/20BH#0000</v>
      </c>
      <c r="G4" s="11"/>
      <c r="H4" s="11"/>
      <c r="I4" s="11"/>
      <c r="J4" s="11"/>
      <c r="K4" s="11"/>
      <c r="L4" s="11"/>
      <c r="M4" s="11"/>
      <c r="N4" s="11"/>
      <c r="O4" s="11"/>
    </row>
    <row r="5" spans="1:15" x14ac:dyDescent="0.25">
      <c r="A5" t="s">
        <v>109</v>
      </c>
      <c r="B5" s="11"/>
      <c r="C5" s="11"/>
      <c r="D5" s="11"/>
      <c r="E5" s="11"/>
      <c r="F5" s="11" t="str">
        <f>+'5.TassiGovernativi'!AJ5</f>
        <v>BTPS 2.15 12/21BH#0000</v>
      </c>
      <c r="G5" s="11"/>
      <c r="H5" s="11"/>
      <c r="I5" s="11"/>
      <c r="J5" s="11"/>
      <c r="K5" s="11"/>
      <c r="L5" s="11"/>
      <c r="M5" s="11"/>
      <c r="N5" s="11"/>
      <c r="O5" s="11"/>
    </row>
    <row r="6" spans="1:15" x14ac:dyDescent="0.25">
      <c r="A6" t="s">
        <v>247</v>
      </c>
      <c r="B6" s="11"/>
      <c r="C6" s="11"/>
      <c r="D6" s="11"/>
      <c r="E6" s="11"/>
      <c r="F6" s="11" t="str">
        <f>+'5.TassiGovernativi'!AJ6</f>
        <v>BTPS 1.35% 04/22BH#0000</v>
      </c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25">
      <c r="A7" t="s">
        <v>137</v>
      </c>
      <c r="B7" s="11"/>
      <c r="C7" s="11"/>
      <c r="D7" s="11"/>
      <c r="E7" s="11"/>
      <c r="F7" s="11" t="str">
        <f>+'5.TassiGovernativi'!AJ7</f>
        <v>BTPS 1.45 09/15/22BH#0000</v>
      </c>
      <c r="G7" s="11"/>
      <c r="H7" s="11"/>
      <c r="I7" s="11"/>
      <c r="J7" s="11"/>
      <c r="K7" s="11"/>
      <c r="L7" s="11"/>
      <c r="M7" s="11"/>
      <c r="N7" s="11"/>
      <c r="O7" s="11"/>
    </row>
    <row r="8" spans="1:15" x14ac:dyDescent="0.25">
      <c r="A8" t="s">
        <v>219</v>
      </c>
      <c r="B8" s="11"/>
      <c r="C8" s="11"/>
      <c r="D8" s="11"/>
      <c r="E8" s="11"/>
      <c r="F8" s="11" t="str">
        <f>+'5.TassiGovernativi'!AJ8</f>
        <v>BTPS 4.5 5/1/2023BH#0000</v>
      </c>
      <c r="G8" s="11"/>
      <c r="H8" s="11"/>
      <c r="I8" s="11"/>
      <c r="J8" s="11"/>
      <c r="K8" s="11"/>
      <c r="L8" s="11"/>
      <c r="M8" s="11"/>
      <c r="N8" s="11"/>
      <c r="O8" s="11"/>
    </row>
    <row r="9" spans="1:15" x14ac:dyDescent="0.25">
      <c r="A9" t="s">
        <v>140</v>
      </c>
      <c r="B9" s="11"/>
      <c r="C9" s="11"/>
      <c r="D9" s="11"/>
      <c r="E9" s="11"/>
      <c r="F9" s="11" t="str">
        <f>+'5.TassiGovernativi'!AJ9</f>
        <v>BTPS 4 3/4 08/01/23BH#0000</v>
      </c>
      <c r="G9" s="11"/>
      <c r="H9" s="11"/>
      <c r="I9" s="11"/>
      <c r="J9" s="11"/>
      <c r="K9" s="11"/>
      <c r="L9" s="11"/>
      <c r="M9" s="11"/>
      <c r="N9" s="11"/>
      <c r="O9" s="11"/>
    </row>
    <row r="10" spans="1:15" x14ac:dyDescent="0.25">
      <c r="A10" t="s">
        <v>248</v>
      </c>
      <c r="B10" s="11"/>
      <c r="C10" s="11"/>
      <c r="D10" s="11"/>
      <c r="E10" s="11"/>
      <c r="F10" s="11" t="str">
        <f>+'5.TassiGovernativi'!AJ10</f>
        <v>BTPS 4.5 03/01/2024 BH#0000</v>
      </c>
      <c r="G10" s="11"/>
      <c r="H10" s="11"/>
      <c r="I10" s="11"/>
      <c r="J10" s="11"/>
      <c r="K10" s="11"/>
      <c r="L10" s="11"/>
      <c r="M10" s="11"/>
      <c r="N10" s="11"/>
      <c r="O10" s="11"/>
    </row>
    <row r="11" spans="1:15" x14ac:dyDescent="0.25">
      <c r="A11" t="s">
        <v>249</v>
      </c>
      <c r="B11" s="11"/>
      <c r="C11" s="11"/>
      <c r="D11" s="11"/>
      <c r="E11" s="11"/>
      <c r="F11" s="11" t="str">
        <f>+'5.TassiGovernativi'!AJ11</f>
        <v>BTPS 3.75 09/01/2024BH#0000</v>
      </c>
      <c r="G11" s="11"/>
      <c r="H11" s="11"/>
      <c r="I11" s="11"/>
      <c r="J11" s="11"/>
      <c r="K11" s="11"/>
      <c r="L11" s="11"/>
      <c r="M11" s="11"/>
      <c r="N11" s="11"/>
      <c r="O11" s="11"/>
    </row>
    <row r="12" spans="1:15" x14ac:dyDescent="0.25">
      <c r="A12" t="s">
        <v>250</v>
      </c>
      <c r="B12" s="11"/>
      <c r="C12" s="11"/>
      <c r="D12" s="11"/>
      <c r="E12" s="11"/>
      <c r="F12" s="11" t="str">
        <f>+'5.TassiGovernativi'!AJ12</f>
        <v>BTPS 5 03/01/25BH#0000</v>
      </c>
      <c r="G12" s="11"/>
      <c r="H12" s="11"/>
      <c r="I12" s="11"/>
      <c r="J12" s="11"/>
      <c r="K12" s="11"/>
      <c r="L12" s="11"/>
      <c r="M12" s="11"/>
      <c r="N12" s="11"/>
      <c r="O12" s="11"/>
    </row>
    <row r="13" spans="1:15" x14ac:dyDescent="0.25">
      <c r="A13" t="s">
        <v>251</v>
      </c>
      <c r="B13" s="11"/>
      <c r="C13" s="11"/>
      <c r="D13" s="11"/>
      <c r="E13" s="11"/>
      <c r="F13" s="11" t="str">
        <f>+'5.TassiGovernativi'!AJ13</f>
        <v>BTPS 2% 12/25BH#0000</v>
      </c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t="s">
        <v>252</v>
      </c>
      <c r="B14" s="11"/>
      <c r="C14" s="11"/>
      <c r="D14" s="11"/>
      <c r="E14" s="11"/>
      <c r="F14" s="11" t="str">
        <f>+'5.TassiGovernativi'!AJ14</f>
        <v>BTP 4.5 03/01/26BH#0000</v>
      </c>
      <c r="G14" s="11"/>
      <c r="H14" s="11"/>
      <c r="I14" s="11"/>
      <c r="J14" s="11"/>
      <c r="K14" s="11"/>
      <c r="L14" s="11"/>
      <c r="M14" s="11"/>
      <c r="N14" s="11"/>
      <c r="O14" s="11"/>
    </row>
    <row r="15" spans="1:15" x14ac:dyDescent="0.25">
      <c r="A15" t="s">
        <v>111</v>
      </c>
      <c r="B15" s="11"/>
      <c r="C15" s="11"/>
      <c r="D15" s="11"/>
      <c r="E15" s="11"/>
      <c r="F15" s="11" t="str">
        <f>+'5.TassiGovernativi'!AJ15</f>
        <v>BTPS 1.25% 12/01/26BH#0000</v>
      </c>
      <c r="G15" s="11"/>
      <c r="H15" s="11"/>
      <c r="I15" s="11"/>
      <c r="J15" s="11"/>
      <c r="K15" s="11"/>
      <c r="L15" s="11"/>
      <c r="M15" s="11"/>
      <c r="N15" s="11"/>
      <c r="O15" s="11"/>
    </row>
    <row r="16" spans="1:15" x14ac:dyDescent="0.25">
      <c r="A16" t="s">
        <v>112</v>
      </c>
      <c r="B16" s="11"/>
      <c r="C16" s="11"/>
      <c r="D16" s="11"/>
      <c r="E16" s="11"/>
      <c r="F16" s="11" t="str">
        <f>+'5.TassiGovernativi'!AJ16</f>
        <v>BTPS 4 3/4 01/09/28BH#0000</v>
      </c>
      <c r="G16" s="11"/>
      <c r="H16" s="11"/>
      <c r="I16" s="11"/>
      <c r="J16" s="11"/>
      <c r="K16" s="11"/>
      <c r="L16" s="11"/>
      <c r="M16" s="11"/>
      <c r="N16" s="11"/>
      <c r="O16" s="11"/>
    </row>
    <row r="17" spans="1:15" x14ac:dyDescent="0.25">
      <c r="A17" t="s">
        <v>113</v>
      </c>
      <c r="B17" s="11"/>
      <c r="C17" s="11"/>
      <c r="D17" s="11"/>
      <c r="E17" s="11"/>
      <c r="F17" s="11" t="str">
        <f>+'5.TassiGovernativi'!AJ17</f>
        <v>BTPS 3.5 03/01/2030BH#0000</v>
      </c>
      <c r="G17" s="11"/>
      <c r="H17" s="11"/>
      <c r="I17" s="11"/>
      <c r="J17" s="11"/>
      <c r="K17" s="11"/>
      <c r="L17" s="11"/>
      <c r="M17" s="11"/>
      <c r="N17" s="11"/>
      <c r="O17" s="11"/>
    </row>
    <row r="18" spans="1:15" x14ac:dyDescent="0.25">
      <c r="B18" s="11"/>
      <c r="C18" s="11"/>
      <c r="D18" s="11"/>
      <c r="E18" s="11"/>
      <c r="F18" s="11" t="str">
        <f>+'5.TassiGovernativi'!AJ18</f>
        <v>BTPS 1,65 01/03/32BH#0000</v>
      </c>
      <c r="G18" s="11"/>
      <c r="H18" s="11"/>
      <c r="I18" s="11"/>
      <c r="J18" s="11"/>
      <c r="K18" s="11"/>
      <c r="L18" s="11"/>
      <c r="M18" s="11"/>
      <c r="N18" s="11"/>
      <c r="O18" s="11"/>
    </row>
    <row r="19" spans="1:15" x14ac:dyDescent="0.25">
      <c r="A19" t="s">
        <v>114</v>
      </c>
      <c r="B19" s="11"/>
      <c r="C19" s="11"/>
      <c r="D19" s="11"/>
      <c r="E19" s="11"/>
      <c r="F19" s="11" t="str">
        <f>+'5.TassiGovernativi'!AJ19</f>
        <v>BTPS 5 08/01/34BH#0000</v>
      </c>
      <c r="G19" s="11"/>
      <c r="H19" s="11"/>
      <c r="I19" s="11"/>
      <c r="J19" s="11"/>
      <c r="K19" s="11"/>
      <c r="L19" s="11"/>
      <c r="M19" s="11"/>
      <c r="N19" s="11"/>
      <c r="O19" s="11"/>
    </row>
    <row r="20" spans="1:15" x14ac:dyDescent="0.25">
      <c r="B20" s="11"/>
      <c r="C20" s="11"/>
      <c r="D20" s="11"/>
      <c r="E20" s="11"/>
      <c r="F20" s="11" t="str">
        <f>+'5.TassiGovernativi'!AJ20</f>
        <v>BTPS 2.25 09/01/36BH#0000</v>
      </c>
      <c r="G20" s="11"/>
      <c r="H20" s="11"/>
      <c r="I20" s="11"/>
      <c r="J20" s="11"/>
      <c r="K20" s="11"/>
      <c r="L20" s="11"/>
      <c r="M20" s="11"/>
      <c r="N20" s="11"/>
      <c r="O20" s="11"/>
    </row>
    <row r="21" spans="1:15" x14ac:dyDescent="0.25">
      <c r="A21" t="s">
        <v>253</v>
      </c>
      <c r="B21" s="11"/>
      <c r="C21" s="11"/>
      <c r="D21" s="11"/>
      <c r="E21" s="11"/>
      <c r="F21" s="11" t="str">
        <f>+'5.TassiGovernativi'!AJ21</f>
        <v>BTPS 5% 01/09/40BH#0000</v>
      </c>
      <c r="G21" s="11"/>
      <c r="H21" s="11"/>
      <c r="I21" s="11"/>
      <c r="J21" s="11"/>
      <c r="K21" s="11"/>
      <c r="L21" s="11"/>
      <c r="M21" s="11"/>
      <c r="N21" s="11"/>
      <c r="O21" s="11"/>
    </row>
    <row r="22" spans="1:15" x14ac:dyDescent="0.25">
      <c r="B22" s="11"/>
      <c r="C22" s="11"/>
      <c r="D22" s="11"/>
      <c r="E22" s="11"/>
      <c r="F22" s="11" t="str">
        <f>+'5.TassiGovernativi'!AJ22</f>
        <v>BTPS 4 3/4 01/09/44BH#0000</v>
      </c>
      <c r="G22" s="11"/>
      <c r="H22" s="11"/>
      <c r="I22" s="11"/>
      <c r="J22" s="11"/>
      <c r="K22" s="11"/>
      <c r="L22" s="11"/>
      <c r="M22" s="11"/>
      <c r="N22" s="11"/>
      <c r="O22" s="11"/>
    </row>
    <row r="23" spans="1:15" x14ac:dyDescent="0.25">
      <c r="A23" t="s">
        <v>116</v>
      </c>
      <c r="B23" s="11"/>
      <c r="C23" s="11"/>
      <c r="D23" s="11"/>
      <c r="E23" s="11"/>
      <c r="F23" s="11" t="str">
        <f>+'5.TassiGovernativi'!AJ23</f>
        <v>BTPS 3.25 09/01/2046BH#0000</v>
      </c>
      <c r="G23" s="11"/>
      <c r="H23" s="11"/>
      <c r="I23" s="11"/>
      <c r="J23" s="11"/>
      <c r="K23" s="11"/>
      <c r="L23" s="11"/>
      <c r="M23" s="11"/>
      <c r="N23" s="11"/>
      <c r="O23" s="11"/>
    </row>
    <row r="24" spans="1:15" x14ac:dyDescent="0.25">
      <c r="B24" s="11"/>
      <c r="C24" s="11"/>
      <c r="D24" s="11"/>
      <c r="E24" s="11"/>
      <c r="F24" s="11" t="str">
        <f>+'5.TassiGovernativi'!AJ24</f>
        <v>BTPS 2.7% 03/01/47BH#0000</v>
      </c>
      <c r="G24" s="11"/>
      <c r="H24" s="11"/>
      <c r="I24" s="11"/>
      <c r="J24" s="11"/>
      <c r="K24" s="11"/>
      <c r="L24" s="11"/>
      <c r="M24" s="11"/>
      <c r="N24" s="11"/>
      <c r="O24" s="11"/>
    </row>
    <row r="25" spans="1:15" x14ac:dyDescent="0.25">
      <c r="A25" t="s">
        <v>117</v>
      </c>
    </row>
    <row r="27" spans="1:15" x14ac:dyDescent="0.25">
      <c r="A27" t="s">
        <v>118</v>
      </c>
    </row>
    <row r="28" spans="1:15" x14ac:dyDescent="0.25">
      <c r="A28" s="14" t="s">
        <v>119</v>
      </c>
      <c r="B28" s="14" t="s">
        <v>120</v>
      </c>
    </row>
    <row r="29" spans="1:15" ht="75" x14ac:dyDescent="0.25">
      <c r="A29" s="14" t="s">
        <v>254</v>
      </c>
      <c r="B29" s="14" t="s">
        <v>255</v>
      </c>
    </row>
    <row r="30" spans="1:15" ht="45" x14ac:dyDescent="0.25">
      <c r="A30" s="14" t="s">
        <v>148</v>
      </c>
      <c r="B30" s="14" t="s">
        <v>256</v>
      </c>
    </row>
    <row r="31" spans="1:15" x14ac:dyDescent="0.25">
      <c r="A31" s="14" t="s">
        <v>229</v>
      </c>
      <c r="B31" s="14" t="s">
        <v>257</v>
      </c>
    </row>
    <row r="32" spans="1:15" ht="30" x14ac:dyDescent="0.25">
      <c r="A32" s="14" t="s">
        <v>154</v>
      </c>
      <c r="B32" s="14" t="s">
        <v>258</v>
      </c>
    </row>
    <row r="33" spans="1:2" x14ac:dyDescent="0.25">
      <c r="A33" s="14" t="s">
        <v>259</v>
      </c>
      <c r="B33" s="14" t="s">
        <v>260</v>
      </c>
    </row>
    <row r="34" spans="1:2" x14ac:dyDescent="0.25">
      <c r="A34" s="14" t="s">
        <v>261</v>
      </c>
      <c r="B34" s="14" t="s">
        <v>262</v>
      </c>
    </row>
    <row r="35" spans="1:2" ht="30" x14ac:dyDescent="0.25">
      <c r="A35" s="14" t="s">
        <v>263</v>
      </c>
      <c r="B35" s="14" t="s">
        <v>264</v>
      </c>
    </row>
    <row r="36" spans="1:2" ht="45" x14ac:dyDescent="0.25">
      <c r="A36" s="14" t="s">
        <v>265</v>
      </c>
      <c r="B36" s="14" t="s">
        <v>266</v>
      </c>
    </row>
    <row r="37" spans="1:2" ht="60" x14ac:dyDescent="0.25">
      <c r="A37" s="14" t="s">
        <v>267</v>
      </c>
      <c r="B37" s="14" t="s">
        <v>268</v>
      </c>
    </row>
    <row r="38" spans="1:2" x14ac:dyDescent="0.25">
      <c r="A38" s="14" t="s">
        <v>123</v>
      </c>
      <c r="B38" s="14" t="s">
        <v>124</v>
      </c>
    </row>
    <row r="39" spans="1:2" x14ac:dyDescent="0.25">
      <c r="A39" s="14" t="s">
        <v>125</v>
      </c>
      <c r="B39" s="14" t="s">
        <v>126</v>
      </c>
    </row>
    <row r="40" spans="1:2" x14ac:dyDescent="0.25">
      <c r="A40" s="14" t="s">
        <v>127</v>
      </c>
      <c r="B40" s="14" t="s">
        <v>128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workbookViewId="0">
      <selection activeCell="D24" sqref="D24"/>
    </sheetView>
  </sheetViews>
  <sheetFormatPr defaultRowHeight="15" x14ac:dyDescent="0.25"/>
  <cols>
    <col min="1" max="1" width="15.28515625" bestFit="1" customWidth="1"/>
    <col min="7" max="7" width="16.7109375" bestFit="1" customWidth="1"/>
  </cols>
  <sheetData>
    <row r="1" spans="1:12" x14ac:dyDescent="0.25">
      <c r="A1" s="9" t="s">
        <v>215</v>
      </c>
      <c r="B1" t="s">
        <v>119</v>
      </c>
      <c r="C1" t="s">
        <v>170</v>
      </c>
      <c r="D1" t="s">
        <v>144</v>
      </c>
      <c r="E1" t="s">
        <v>173</v>
      </c>
      <c r="F1" t="s">
        <v>175</v>
      </c>
      <c r="G1" t="s">
        <v>177</v>
      </c>
      <c r="H1" t="s">
        <v>123</v>
      </c>
      <c r="I1" t="s">
        <v>125</v>
      </c>
      <c r="J1" t="s">
        <v>127</v>
      </c>
      <c r="L1" s="13" t="s">
        <v>163</v>
      </c>
    </row>
    <row r="2" spans="1:12" x14ac:dyDescent="0.25">
      <c r="A2" s="9" t="str">
        <f t="array" ref="A2">_xll.qlOISRateHelper(B2,C2,D2,E2,F2,,)</f>
        <v>15 Months#0000</v>
      </c>
      <c r="B2" t="str">
        <f>+'1_DatiInput_Eonia'!A20</f>
        <v>15 Months</v>
      </c>
      <c r="C2">
        <v>2</v>
      </c>
      <c r="D2" t="s">
        <v>194</v>
      </c>
      <c r="E2">
        <f>+'1_DatiInput_Eonia'!N20/100</f>
        <v>-3.5099999999999997E-3</v>
      </c>
      <c r="F2" t="str">
        <f>+'4.Index_EONIA&amp;Swap6M'!$B$2</f>
        <v>EONIA1#0000</v>
      </c>
    </row>
    <row r="3" spans="1:12" x14ac:dyDescent="0.25">
      <c r="A3" s="9" t="str">
        <f t="array" ref="A3">_xll.qlOISRateHelper(B3,C3,D3,E3,F3,,)</f>
        <v>18 Months#0000</v>
      </c>
      <c r="B3" t="str">
        <f>+'1_DatiInput_Eonia'!A21</f>
        <v>18 Months</v>
      </c>
      <c r="C3">
        <f>+C2</f>
        <v>2</v>
      </c>
      <c r="D3" t="s">
        <v>195</v>
      </c>
      <c r="E3">
        <f>+'1_DatiInput_Eonia'!N21/100</f>
        <v>-3.4799999999999996E-3</v>
      </c>
      <c r="F3" t="str">
        <f>+'4.Index_EONIA&amp;Swap6M'!$B$2</f>
        <v>EONIA1#0000</v>
      </c>
      <c r="L3" t="s">
        <v>107</v>
      </c>
    </row>
    <row r="4" spans="1:12" x14ac:dyDescent="0.25">
      <c r="A4" s="9" t="str">
        <f t="array" ref="A4">_xll.qlOISRateHelper(B4,C4,D4,E4,F4,,)</f>
        <v>21 Months#0000</v>
      </c>
      <c r="B4" t="str">
        <f>+'1_DatiInput_Eonia'!A22</f>
        <v>21 Months</v>
      </c>
      <c r="C4">
        <f>+C3</f>
        <v>2</v>
      </c>
      <c r="D4" t="s">
        <v>196</v>
      </c>
      <c r="E4">
        <f>+'1_DatiInput_Eonia'!N22/100</f>
        <v>-3.4300000000000003E-3</v>
      </c>
      <c r="F4" t="str">
        <f>+'4.Index_EONIA&amp;Swap6M'!$B$2</f>
        <v>EONIA1#0000</v>
      </c>
      <c r="L4" t="s">
        <v>164</v>
      </c>
    </row>
    <row r="5" spans="1:12" x14ac:dyDescent="0.25">
      <c r="A5" s="9" t="str">
        <f t="array" ref="A5">_xll.qlOISRateHelper(B5,C5,D5,E5,F5,,)</f>
        <v>2 Years#0000</v>
      </c>
      <c r="B5" t="str">
        <f>+'1_DatiInput_Eonia'!A23</f>
        <v>2 Years</v>
      </c>
      <c r="C5">
        <f t="shared" ref="C5:C22" si="0">+C4</f>
        <v>2</v>
      </c>
      <c r="D5" t="s">
        <v>197</v>
      </c>
      <c r="E5">
        <f>+'1_DatiInput_Eonia'!N23/100</f>
        <v>-3.3700000000000002E-3</v>
      </c>
      <c r="F5" t="str">
        <f>+'4.Index_EONIA&amp;Swap6M'!$B$2</f>
        <v>EONIA1#0000</v>
      </c>
      <c r="L5" t="s">
        <v>109</v>
      </c>
    </row>
    <row r="6" spans="1:12" x14ac:dyDescent="0.25">
      <c r="A6" s="9" t="str">
        <f t="array" ref="A6">_xll.qlOISRateHelper(B6,C6,D6,E6,F6,,)</f>
        <v>3 Years#0000</v>
      </c>
      <c r="B6" t="str">
        <f>+'1_DatiInput_Eonia'!A24</f>
        <v>3 Years</v>
      </c>
      <c r="C6">
        <f t="shared" si="0"/>
        <v>2</v>
      </c>
      <c r="D6" t="s">
        <v>198</v>
      </c>
      <c r="E6">
        <f>+'1_DatiInput_Eonia'!N24/100</f>
        <v>-2.98E-3</v>
      </c>
      <c r="F6" t="str">
        <f>+'4.Index_EONIA&amp;Swap6M'!$B$2</f>
        <v>EONIA1#0000</v>
      </c>
      <c r="L6" t="s">
        <v>165</v>
      </c>
    </row>
    <row r="7" spans="1:12" x14ac:dyDescent="0.25">
      <c r="A7" s="9" t="str">
        <f t="array" ref="A7">_xll.qlOISRateHelper(B7,C7,D7,E7,F7,,)</f>
        <v>4 Years#0000</v>
      </c>
      <c r="B7" t="str">
        <f>+'1_DatiInput_Eonia'!A25</f>
        <v>4 Years</v>
      </c>
      <c r="C7">
        <f t="shared" si="0"/>
        <v>2</v>
      </c>
      <c r="D7" t="s">
        <v>199</v>
      </c>
      <c r="E7">
        <f>+'1_DatiInput_Eonia'!N25/100</f>
        <v>-2.3599999999999997E-3</v>
      </c>
      <c r="F7" t="str">
        <f>+'4.Index_EONIA&amp;Swap6M'!$B$2</f>
        <v>EONIA1#0000</v>
      </c>
      <c r="L7" t="s">
        <v>135</v>
      </c>
    </row>
    <row r="8" spans="1:12" x14ac:dyDescent="0.25">
      <c r="A8" s="9" t="str">
        <f t="array" ref="A8">_xll.qlOISRateHelper(B8,C8,D8,E8,F8,,)</f>
        <v>5 Years#0000</v>
      </c>
      <c r="B8" t="str">
        <f>+'1_DatiInput_Eonia'!A26</f>
        <v>5 Years</v>
      </c>
      <c r="C8">
        <f t="shared" si="0"/>
        <v>2</v>
      </c>
      <c r="D8" t="s">
        <v>200</v>
      </c>
      <c r="E8">
        <f>+'1_DatiInput_Eonia'!N26/100</f>
        <v>-1.5E-3</v>
      </c>
      <c r="F8" t="str">
        <f>+'4.Index_EONIA&amp;Swap6M'!$B$2</f>
        <v>EONIA1#0000</v>
      </c>
      <c r="L8" t="s">
        <v>166</v>
      </c>
    </row>
    <row r="9" spans="1:12" x14ac:dyDescent="0.25">
      <c r="A9" s="9" t="str">
        <f t="array" ref="A9">_xll.qlOISRateHelper(B9,C9,D9,E9,F9,,)</f>
        <v>6 Years#0000</v>
      </c>
      <c r="B9" t="str">
        <f>+'1_DatiInput_Eonia'!A27</f>
        <v>6 Years</v>
      </c>
      <c r="C9">
        <f t="shared" si="0"/>
        <v>2</v>
      </c>
      <c r="D9" t="s">
        <v>201</v>
      </c>
      <c r="E9">
        <f>+'1_DatiInput_Eonia'!N27/100</f>
        <v>-4.3999999999999996E-4</v>
      </c>
      <c r="F9" t="str">
        <f>+'4.Index_EONIA&amp;Swap6M'!$B$2</f>
        <v>EONIA1#0000</v>
      </c>
      <c r="L9" t="s">
        <v>167</v>
      </c>
    </row>
    <row r="10" spans="1:12" x14ac:dyDescent="0.25">
      <c r="A10" s="9" t="str">
        <f t="array" ref="A10">_xll.qlOISRateHelper(B10,C10,D10,E10,F10,,)</f>
        <v>7 Years#0000</v>
      </c>
      <c r="B10" t="str">
        <f>+'1_DatiInput_Eonia'!A28</f>
        <v>7 Years</v>
      </c>
      <c r="C10">
        <f t="shared" si="0"/>
        <v>2</v>
      </c>
      <c r="D10" t="s">
        <v>202</v>
      </c>
      <c r="E10">
        <f>+'1_DatiInput_Eonia'!N28/100</f>
        <v>7.5999999999999993E-4</v>
      </c>
      <c r="F10" t="str">
        <f>+'4.Index_EONIA&amp;Swap6M'!$B$2</f>
        <v>EONIA1#0000</v>
      </c>
      <c r="L10" t="s">
        <v>168</v>
      </c>
    </row>
    <row r="11" spans="1:12" x14ac:dyDescent="0.25">
      <c r="A11" s="9" t="str">
        <f t="array" ref="A11">_xll.qlOISRateHelper(B11,C11,D11,E11,F11,,)</f>
        <v>8 Years#0000</v>
      </c>
      <c r="B11" t="str">
        <f>+'1_DatiInput_Eonia'!A29</f>
        <v>8 Years</v>
      </c>
      <c r="C11">
        <f t="shared" si="0"/>
        <v>2</v>
      </c>
      <c r="D11" t="s">
        <v>203</v>
      </c>
      <c r="E11">
        <f>+'1_DatiInput_Eonia'!N29/100</f>
        <v>2.0200000000000001E-3</v>
      </c>
      <c r="F11" t="str">
        <f>+'4.Index_EONIA&amp;Swap6M'!$B$2</f>
        <v>EONIA1#0000</v>
      </c>
      <c r="L11" t="s">
        <v>111</v>
      </c>
    </row>
    <row r="12" spans="1:12" x14ac:dyDescent="0.25">
      <c r="A12" s="9" t="str">
        <f t="array" ref="A12">_xll.qlOISRateHelper(B12,C12,D12,E12,F12,,)</f>
        <v>9 Years#0000</v>
      </c>
      <c r="B12" t="str">
        <f>+'1_DatiInput_Eonia'!A30</f>
        <v>9 Years</v>
      </c>
      <c r="C12">
        <f t="shared" si="0"/>
        <v>2</v>
      </c>
      <c r="D12" t="s">
        <v>204</v>
      </c>
      <c r="E12">
        <f>+'1_DatiInput_Eonia'!N30/100</f>
        <v>3.2400000000000003E-3</v>
      </c>
      <c r="F12" t="str">
        <f>+'4.Index_EONIA&amp;Swap6M'!$B$2</f>
        <v>EONIA1#0000</v>
      </c>
      <c r="L12" t="s">
        <v>112</v>
      </c>
    </row>
    <row r="13" spans="1:12" x14ac:dyDescent="0.25">
      <c r="A13" s="9" t="str">
        <f t="array" ref="A13">_xll.qlOISRateHelper(B13,C13,D13,E13,F13,,)</f>
        <v>10 Years#0000</v>
      </c>
      <c r="B13" t="str">
        <f>+'1_DatiInput_Eonia'!A31</f>
        <v>10 Years</v>
      </c>
      <c r="C13">
        <f t="shared" si="0"/>
        <v>2</v>
      </c>
      <c r="D13" t="s">
        <v>205</v>
      </c>
      <c r="E13">
        <f>+'1_DatiInput_Eonia'!N31/100</f>
        <v>4.3899999999999998E-3</v>
      </c>
      <c r="F13" t="str">
        <f>+'4.Index_EONIA&amp;Swap6M'!$B$2</f>
        <v>EONIA1#0000</v>
      </c>
      <c r="L13" t="s">
        <v>113</v>
      </c>
    </row>
    <row r="14" spans="1:12" x14ac:dyDescent="0.25">
      <c r="A14" s="9" t="str">
        <f t="array" ref="A14">_xll.qlOISRateHelper(B14,C14,D14,E14,F14,,)</f>
        <v>11 Years#0000</v>
      </c>
      <c r="B14" t="str">
        <f>+'1_DatiInput_Eonia'!A32</f>
        <v>11 Years</v>
      </c>
      <c r="C14">
        <f t="shared" si="0"/>
        <v>2</v>
      </c>
      <c r="D14" t="s">
        <v>206</v>
      </c>
      <c r="E14">
        <f>+'1_DatiInput_Eonia'!N32/100</f>
        <v>5.45E-3</v>
      </c>
      <c r="F14" t="str">
        <f>+'4.Index_EONIA&amp;Swap6M'!$B$2</f>
        <v>EONIA1#0000</v>
      </c>
    </row>
    <row r="15" spans="1:12" x14ac:dyDescent="0.25">
      <c r="A15" s="9" t="str">
        <f t="array" ref="A15">_xll.qlOISRateHelper(B15,C15,D15,E15,F15,,)</f>
        <v>12 Years#0000</v>
      </c>
      <c r="B15" t="str">
        <f>+'1_DatiInput_Eonia'!A33</f>
        <v>12 Years</v>
      </c>
      <c r="C15">
        <f t="shared" si="0"/>
        <v>2</v>
      </c>
      <c r="D15" t="s">
        <v>207</v>
      </c>
      <c r="E15">
        <f>+'1_DatiInput_Eonia'!N33/100</f>
        <v>6.3800000000000003E-3</v>
      </c>
      <c r="F15" t="str">
        <f>+'4.Index_EONIA&amp;Swap6M'!$B$2</f>
        <v>EONIA1#0000</v>
      </c>
      <c r="L15" t="s">
        <v>114</v>
      </c>
    </row>
    <row r="16" spans="1:12" x14ac:dyDescent="0.25">
      <c r="A16" s="9" t="str">
        <f t="array" ref="A16">_xll.qlOISRateHelper(B16,C16,D16,E16,F16,,)</f>
        <v>15 Years#0000</v>
      </c>
      <c r="B16" t="str">
        <f>+'1_DatiInput_Eonia'!A34</f>
        <v>15 Years</v>
      </c>
      <c r="C16">
        <f t="shared" si="0"/>
        <v>2</v>
      </c>
      <c r="D16" t="s">
        <v>208</v>
      </c>
      <c r="E16">
        <f>+'1_DatiInput_Eonia'!N34/100</f>
        <v>8.5199999999999998E-3</v>
      </c>
      <c r="F16" t="str">
        <f>+'4.Index_EONIA&amp;Swap6M'!$B$2</f>
        <v>EONIA1#0000</v>
      </c>
    </row>
    <row r="17" spans="1:13" x14ac:dyDescent="0.25">
      <c r="A17" s="9" t="str">
        <f t="array" ref="A17">_xll.qlOISRateHelper(B17,C17,D17,E17,F17,,)</f>
        <v>20 Years#0000</v>
      </c>
      <c r="B17" t="str">
        <f>+'1_DatiInput_Eonia'!A35</f>
        <v>20 Years</v>
      </c>
      <c r="C17">
        <f t="shared" si="0"/>
        <v>2</v>
      </c>
      <c r="D17" t="s">
        <v>209</v>
      </c>
      <c r="E17">
        <f>+'1_DatiInput_Eonia'!N35/100</f>
        <v>1.0460000000000001E-2</v>
      </c>
      <c r="F17" t="str">
        <f>+'4.Index_EONIA&amp;Swap6M'!$B$2</f>
        <v>EONIA1#0000</v>
      </c>
      <c r="L17" t="s">
        <v>169</v>
      </c>
    </row>
    <row r="18" spans="1:13" x14ac:dyDescent="0.25">
      <c r="A18" s="9" t="str">
        <f t="array" ref="A18">_xll.qlOISRateHelper(B18,C18,D18,E18,F18,,)</f>
        <v>25 Years#0000</v>
      </c>
      <c r="B18" t="str">
        <f>+'1_DatiInput_Eonia'!A36</f>
        <v>25 Years</v>
      </c>
      <c r="C18">
        <f t="shared" si="0"/>
        <v>2</v>
      </c>
      <c r="D18" t="s">
        <v>210</v>
      </c>
      <c r="E18">
        <f>+'1_DatiInput_Eonia'!N36/100</f>
        <v>1.1270000000000001E-2</v>
      </c>
      <c r="F18" t="str">
        <f>+'4.Index_EONIA&amp;Swap6M'!$B$2</f>
        <v>EONIA1#0000</v>
      </c>
    </row>
    <row r="19" spans="1:13" x14ac:dyDescent="0.25">
      <c r="A19" s="9" t="str">
        <f t="array" ref="A19">_xll.qlOISRateHelper(B19,C19,D19,E19,F19,,)</f>
        <v>30 Years#0000</v>
      </c>
      <c r="B19" t="str">
        <f>+'1_DatiInput_Eonia'!A37</f>
        <v>30 Years</v>
      </c>
      <c r="C19">
        <f t="shared" si="0"/>
        <v>2</v>
      </c>
      <c r="D19" t="s">
        <v>211</v>
      </c>
      <c r="E19">
        <f>+'1_DatiInput_Eonia'!N37/100</f>
        <v>1.163E-2</v>
      </c>
      <c r="F19" t="str">
        <f>+'4.Index_EONIA&amp;Swap6M'!$B$2</f>
        <v>EONIA1#0000</v>
      </c>
      <c r="L19" t="s">
        <v>116</v>
      </c>
    </row>
    <row r="20" spans="1:13" x14ac:dyDescent="0.25">
      <c r="A20" s="9" t="str">
        <f t="array" ref="A20">_xll.qlOISRateHelper(B20,C20,D20,E20,F20,,)</f>
        <v>40 Years#0000</v>
      </c>
      <c r="B20" t="str">
        <f>+'1_DatiInput_Eonia'!A38</f>
        <v>40 Years</v>
      </c>
      <c r="C20">
        <f t="shared" si="0"/>
        <v>2</v>
      </c>
      <c r="D20" t="s">
        <v>212</v>
      </c>
      <c r="E20">
        <f>+'1_DatiInput_Eonia'!N38/100</f>
        <v>1.1819999999999999E-2</v>
      </c>
      <c r="F20" t="str">
        <f>+'4.Index_EONIA&amp;Swap6M'!$B$2</f>
        <v>EONIA1#0000</v>
      </c>
    </row>
    <row r="21" spans="1:13" x14ac:dyDescent="0.25">
      <c r="A21" s="9" t="str">
        <f t="array" ref="A21">_xll.qlOISRateHelper(B21,C21,D21,E21,F21,,)</f>
        <v>50 Years#0000</v>
      </c>
      <c r="B21" t="str">
        <f>+'1_DatiInput_Eonia'!A39</f>
        <v>50 Years</v>
      </c>
      <c r="C21">
        <f t="shared" si="0"/>
        <v>2</v>
      </c>
      <c r="D21" t="s">
        <v>213</v>
      </c>
      <c r="E21">
        <f>+'1_DatiInput_Eonia'!N39/100</f>
        <v>1.145E-2</v>
      </c>
      <c r="F21" t="str">
        <f>+'4.Index_EONIA&amp;Swap6M'!$B$2</f>
        <v>EONIA1#0000</v>
      </c>
      <c r="L21" t="s">
        <v>117</v>
      </c>
    </row>
    <row r="22" spans="1:13" x14ac:dyDescent="0.25">
      <c r="A22" s="9" t="str">
        <f t="array" ref="A22">_xll.qlOISRateHelper(B22,C22,D22,E22,F22,,)</f>
        <v>60 Years#0000</v>
      </c>
      <c r="B22" t="str">
        <f>+'1_DatiInput_Eonia'!A40</f>
        <v>60 Years</v>
      </c>
      <c r="C22">
        <f t="shared" si="0"/>
        <v>2</v>
      </c>
      <c r="D22" t="s">
        <v>214</v>
      </c>
      <c r="E22">
        <f>+'1_DatiInput_Eonia'!N40/100</f>
        <v>1.119E-2</v>
      </c>
      <c r="F22" t="str">
        <f>+'4.Index_EONIA&amp;Swap6M'!$B$2</f>
        <v>EONIA1#0000</v>
      </c>
    </row>
    <row r="23" spans="1:13" x14ac:dyDescent="0.25">
      <c r="L23" t="s">
        <v>118</v>
      </c>
    </row>
    <row r="24" spans="1:13" ht="60" x14ac:dyDescent="0.25">
      <c r="L24" s="14" t="s">
        <v>119</v>
      </c>
      <c r="M24" s="14" t="s">
        <v>120</v>
      </c>
    </row>
    <row r="25" spans="1:13" ht="45" x14ac:dyDescent="0.25">
      <c r="L25" s="14" t="s">
        <v>170</v>
      </c>
      <c r="M25" s="14" t="s">
        <v>171</v>
      </c>
    </row>
    <row r="26" spans="1:13" ht="75" x14ac:dyDescent="0.25">
      <c r="L26" s="14" t="s">
        <v>144</v>
      </c>
      <c r="M26" s="14" t="s">
        <v>172</v>
      </c>
    </row>
    <row r="27" spans="1:13" ht="30" x14ac:dyDescent="0.25">
      <c r="L27" s="14" t="s">
        <v>173</v>
      </c>
      <c r="M27" s="14" t="s">
        <v>174</v>
      </c>
    </row>
    <row r="28" spans="1:13" ht="90" x14ac:dyDescent="0.25">
      <c r="L28" s="14" t="s">
        <v>175</v>
      </c>
      <c r="M28" s="14" t="s">
        <v>176</v>
      </c>
    </row>
    <row r="29" spans="1:13" ht="120" x14ac:dyDescent="0.25">
      <c r="L29" s="14" t="s">
        <v>177</v>
      </c>
      <c r="M29" s="14" t="s">
        <v>178</v>
      </c>
    </row>
    <row r="30" spans="1:13" ht="75" x14ac:dyDescent="0.25">
      <c r="L30" s="14" t="s">
        <v>123</v>
      </c>
      <c r="M30" s="14" t="s">
        <v>124</v>
      </c>
    </row>
    <row r="31" spans="1:13" ht="60" x14ac:dyDescent="0.25">
      <c r="L31" s="14" t="s">
        <v>125</v>
      </c>
      <c r="M31" s="14" t="s">
        <v>126</v>
      </c>
    </row>
    <row r="32" spans="1:13" ht="30" x14ac:dyDescent="0.25">
      <c r="L32" s="14" t="s">
        <v>127</v>
      </c>
      <c r="M32" s="14" t="s">
        <v>128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workbookViewId="0">
      <selection activeCell="C2" sqref="C2:C33"/>
    </sheetView>
  </sheetViews>
  <sheetFormatPr defaultRowHeight="15" x14ac:dyDescent="0.25"/>
  <cols>
    <col min="1" max="1" width="18.28515625" bestFit="1" customWidth="1"/>
    <col min="3" max="3" width="10.140625" bestFit="1" customWidth="1"/>
    <col min="8" max="8" width="19.42578125" bestFit="1" customWidth="1"/>
    <col min="9" max="9" width="19.5703125" bestFit="1" customWidth="1"/>
    <col min="10" max="10" width="18.5703125" bestFit="1" customWidth="1"/>
    <col min="13" max="13" width="16.7109375" bestFit="1" customWidth="1"/>
    <col min="21" max="21" width="23.5703125" customWidth="1"/>
    <col min="22" max="22" width="34" customWidth="1"/>
  </cols>
  <sheetData>
    <row r="1" spans="1:21" x14ac:dyDescent="0.25">
      <c r="A1" t="s">
        <v>273</v>
      </c>
      <c r="B1" t="s">
        <v>119</v>
      </c>
      <c r="C1" t="s">
        <v>142</v>
      </c>
      <c r="D1" t="s">
        <v>170</v>
      </c>
      <c r="E1" t="s">
        <v>144</v>
      </c>
      <c r="F1" t="s">
        <v>148</v>
      </c>
      <c r="G1" t="s">
        <v>450</v>
      </c>
      <c r="H1" t="s">
        <v>452</v>
      </c>
      <c r="I1" t="s">
        <v>454</v>
      </c>
      <c r="J1" t="s">
        <v>456</v>
      </c>
      <c r="K1" t="s">
        <v>458</v>
      </c>
      <c r="L1" t="s">
        <v>460</v>
      </c>
      <c r="M1" t="s">
        <v>177</v>
      </c>
      <c r="N1" t="s">
        <v>432</v>
      </c>
      <c r="O1" t="s">
        <v>434</v>
      </c>
      <c r="P1" t="s">
        <v>123</v>
      </c>
      <c r="Q1" t="s">
        <v>125</v>
      </c>
      <c r="R1" t="s">
        <v>127</v>
      </c>
      <c r="U1" s="13" t="s">
        <v>440</v>
      </c>
    </row>
    <row r="2" spans="1:21" x14ac:dyDescent="0.25">
      <c r="A2" t="str">
        <f>_xll.qlSwapRateHelper2(B2,C2,D2,E2,F2,G2,H2,I2,J2,K2,L2,M2)</f>
        <v>SW6_3 Years#0000</v>
      </c>
      <c r="B2" t="str">
        <f>"SW6_"&amp;'1.DatiInput_Swap6M'!A7</f>
        <v>SW6_3 Years</v>
      </c>
      <c r="C2">
        <f>+'1.DatiInput_Swap6M'!O7/100</f>
        <v>-9.2000000000000003E-4</v>
      </c>
      <c r="D2">
        <v>2</v>
      </c>
      <c r="E2" t="s">
        <v>198</v>
      </c>
      <c r="F2" t="s">
        <v>157</v>
      </c>
      <c r="G2" t="s">
        <v>301</v>
      </c>
      <c r="H2" t="s">
        <v>158</v>
      </c>
      <c r="I2" t="s">
        <v>341</v>
      </c>
      <c r="J2" t="str">
        <f>+'4.Index_EONIA&amp;Swap6M'!B6</f>
        <v>EUR SWAP 6M#0000</v>
      </c>
      <c r="K2" s="53">
        <v>0</v>
      </c>
      <c r="L2" t="s">
        <v>462</v>
      </c>
      <c r="M2" t="str">
        <f>+'8.Piecewise_YieldCurve_EONIA'!$D$2</f>
        <v>OIS_curve#0000</v>
      </c>
    </row>
    <row r="3" spans="1:21" x14ac:dyDescent="0.25">
      <c r="A3" t="str">
        <f>_xll.qlSwapRateHelper2(B3,C3,D3,E3,F3,G3,H3,I3,J3,K3,L3,M3)</f>
        <v>SW6_4 Years#0000</v>
      </c>
      <c r="B3" t="str">
        <f>"SW6_"&amp;'1.DatiInput_Swap6M'!A8</f>
        <v>SW6_4 Years</v>
      </c>
      <c r="C3">
        <f>+'1.DatiInput_Swap6M'!O8/100</f>
        <v>-7.0000000000000007E-5</v>
      </c>
      <c r="D3">
        <f>+D2</f>
        <v>2</v>
      </c>
      <c r="E3" t="s">
        <v>199</v>
      </c>
      <c r="F3" t="s">
        <v>157</v>
      </c>
      <c r="G3" t="s">
        <v>301</v>
      </c>
      <c r="H3" t="s">
        <v>158</v>
      </c>
      <c r="I3" t="str">
        <f>+I2</f>
        <v>30/360</v>
      </c>
      <c r="J3" t="str">
        <f>+J2</f>
        <v>EUR SWAP 6M#0000</v>
      </c>
      <c r="K3" s="53">
        <f>+K2</f>
        <v>0</v>
      </c>
      <c r="L3" t="s">
        <v>462</v>
      </c>
      <c r="M3" t="str">
        <f>+M2</f>
        <v>OIS_curve#0000</v>
      </c>
      <c r="U3" t="s">
        <v>107</v>
      </c>
    </row>
    <row r="4" spans="1:21" x14ac:dyDescent="0.25">
      <c r="A4" t="str">
        <f>_xll.qlSwapRateHelper2(B4,C4,D4,E4,F4,G4,H4,I4,J4,K4,L4,M4)</f>
        <v>SW6_5 Years#0000</v>
      </c>
      <c r="B4" t="str">
        <f>"SW6_"&amp;'1.DatiInput_Swap6M'!A9</f>
        <v>SW6_5 Years</v>
      </c>
      <c r="C4">
        <f>+'1.DatiInput_Swap6M'!O9/100</f>
        <v>9.7999999999999997E-4</v>
      </c>
      <c r="D4">
        <f t="shared" ref="D4:D31" si="0">+D3</f>
        <v>2</v>
      </c>
      <c r="E4" t="s">
        <v>200</v>
      </c>
      <c r="F4" t="s">
        <v>157</v>
      </c>
      <c r="G4" t="s">
        <v>301</v>
      </c>
      <c r="H4" t="s">
        <v>158</v>
      </c>
      <c r="I4" t="str">
        <f t="shared" ref="I4:I31" si="1">+I3</f>
        <v>30/360</v>
      </c>
      <c r="J4" t="str">
        <f t="shared" ref="J4:J31" si="2">+J3</f>
        <v>EUR SWAP 6M#0000</v>
      </c>
      <c r="K4" s="53">
        <f t="shared" ref="K4:K31" si="3">+K3</f>
        <v>0</v>
      </c>
      <c r="L4" t="s">
        <v>462</v>
      </c>
      <c r="M4" t="str">
        <f t="shared" ref="M4:M31" si="4">+M3</f>
        <v>OIS_curve#0000</v>
      </c>
      <c r="U4" t="s">
        <v>441</v>
      </c>
    </row>
    <row r="5" spans="1:21" x14ac:dyDescent="0.25">
      <c r="A5" t="str">
        <f>_xll.qlSwapRateHelper2(B5,C5,D5,E5,F5,G5,H5,I5,J5,K5,L5,M5)</f>
        <v>SW6_6 Years#0000</v>
      </c>
      <c r="B5" t="str">
        <f>"SW6_"&amp;'1.DatiInput_Swap6M'!A10</f>
        <v>SW6_6 Years</v>
      </c>
      <c r="C5">
        <f>+'1.DatiInput_Swap6M'!O10/100</f>
        <v>2.0999999999999999E-3</v>
      </c>
      <c r="D5">
        <f t="shared" si="0"/>
        <v>2</v>
      </c>
      <c r="E5" t="s">
        <v>201</v>
      </c>
      <c r="F5" t="s">
        <v>157</v>
      </c>
      <c r="G5" t="s">
        <v>301</v>
      </c>
      <c r="H5" t="s">
        <v>158</v>
      </c>
      <c r="I5" t="str">
        <f t="shared" si="1"/>
        <v>30/360</v>
      </c>
      <c r="J5" t="str">
        <f t="shared" si="2"/>
        <v>EUR SWAP 6M#0000</v>
      </c>
      <c r="K5" s="53">
        <f t="shared" si="3"/>
        <v>0</v>
      </c>
      <c r="L5" t="s">
        <v>462</v>
      </c>
      <c r="M5" t="str">
        <f t="shared" si="4"/>
        <v>OIS_curve#0000</v>
      </c>
      <c r="U5" t="s">
        <v>109</v>
      </c>
    </row>
    <row r="6" spans="1:21" x14ac:dyDescent="0.25">
      <c r="A6" t="str">
        <f>_xll.qlSwapRateHelper2(B6,C6,D6,E6,F6,G6,H6,I6,J6,K6,L6,M6)</f>
        <v>SW6_7 Years#0000</v>
      </c>
      <c r="B6" t="str">
        <f>"SW6_"&amp;'1.DatiInput_Swap6M'!A11</f>
        <v>SW6_7 Years</v>
      </c>
      <c r="C6">
        <f>+'1.DatiInput_Swap6M'!O11/100</f>
        <v>3.29E-3</v>
      </c>
      <c r="D6">
        <f t="shared" si="0"/>
        <v>2</v>
      </c>
      <c r="E6" t="s">
        <v>202</v>
      </c>
      <c r="F6" t="s">
        <v>157</v>
      </c>
      <c r="G6" t="s">
        <v>301</v>
      </c>
      <c r="H6" t="s">
        <v>158</v>
      </c>
      <c r="I6" t="str">
        <f t="shared" si="1"/>
        <v>30/360</v>
      </c>
      <c r="J6" t="str">
        <f t="shared" si="2"/>
        <v>EUR SWAP 6M#0000</v>
      </c>
      <c r="K6" s="53">
        <f t="shared" si="3"/>
        <v>0</v>
      </c>
      <c r="L6" t="s">
        <v>462</v>
      </c>
      <c r="M6" t="str">
        <f t="shared" si="4"/>
        <v>OIS_curve#0000</v>
      </c>
      <c r="U6" t="s">
        <v>134</v>
      </c>
    </row>
    <row r="7" spans="1:21" x14ac:dyDescent="0.25">
      <c r="A7" t="str">
        <f>_xll.qlSwapRateHelper2(B7,C7,D7,E7,F7,G7,H7,I7,J7,K7,L7,M7)</f>
        <v>SW6_8 Years#0000</v>
      </c>
      <c r="B7" t="str">
        <f>"SW6_"&amp;'1.DatiInput_Swap6M'!A12</f>
        <v>SW6_8 Years</v>
      </c>
      <c r="C7">
        <f>+'1.DatiInput_Swap6M'!O12/100</f>
        <v>4.5100000000000001E-3</v>
      </c>
      <c r="D7">
        <f t="shared" si="0"/>
        <v>2</v>
      </c>
      <c r="E7" t="s">
        <v>203</v>
      </c>
      <c r="F7" t="s">
        <v>157</v>
      </c>
      <c r="G7" t="s">
        <v>301</v>
      </c>
      <c r="H7" t="s">
        <v>158</v>
      </c>
      <c r="I7" t="str">
        <f t="shared" si="1"/>
        <v>30/360</v>
      </c>
      <c r="J7" t="str">
        <f t="shared" si="2"/>
        <v>EUR SWAP 6M#0000</v>
      </c>
      <c r="K7" s="53">
        <f t="shared" si="3"/>
        <v>0</v>
      </c>
      <c r="L7" t="s">
        <v>462</v>
      </c>
      <c r="M7" t="str">
        <f t="shared" si="4"/>
        <v>OIS_curve#0000</v>
      </c>
      <c r="U7" t="s">
        <v>165</v>
      </c>
    </row>
    <row r="8" spans="1:21" x14ac:dyDescent="0.25">
      <c r="A8" t="str">
        <f>_xll.qlSwapRateHelper2(B8,C8,D8,E8,F8,G8,H8,I8,J8,K8,L8,M8)</f>
        <v>SW6_9 Years#0000</v>
      </c>
      <c r="B8" t="str">
        <f>"SW6_"&amp;'1.DatiInput_Swap6M'!A13</f>
        <v>SW6_9 Years</v>
      </c>
      <c r="C8">
        <f>+'1.DatiInput_Swap6M'!O13/100</f>
        <v>5.6799999999999993E-3</v>
      </c>
      <c r="D8">
        <f t="shared" si="0"/>
        <v>2</v>
      </c>
      <c r="E8" t="s">
        <v>204</v>
      </c>
      <c r="F8" t="s">
        <v>157</v>
      </c>
      <c r="G8" t="s">
        <v>301</v>
      </c>
      <c r="H8" t="s">
        <v>158</v>
      </c>
      <c r="I8" t="str">
        <f t="shared" si="1"/>
        <v>30/360</v>
      </c>
      <c r="J8" t="str">
        <f t="shared" si="2"/>
        <v>EUR SWAP 6M#0000</v>
      </c>
      <c r="K8" s="53">
        <f t="shared" si="3"/>
        <v>0</v>
      </c>
      <c r="L8" t="s">
        <v>462</v>
      </c>
      <c r="M8" t="str">
        <f t="shared" si="4"/>
        <v>OIS_curve#0000</v>
      </c>
      <c r="U8" t="s">
        <v>135</v>
      </c>
    </row>
    <row r="9" spans="1:21" x14ac:dyDescent="0.25">
      <c r="A9" t="str">
        <f>_xll.qlSwapRateHelper2(B9,C9,D9,E9,F9,G9,H9,I9,J9,K9,L9,M9)</f>
        <v>SW6_10 Years#0000</v>
      </c>
      <c r="B9" t="str">
        <f>"SW6_"&amp;'1.DatiInput_Swap6M'!A14</f>
        <v>SW6_10 Years</v>
      </c>
      <c r="C9">
        <f>+'1.DatiInput_Swap6M'!O14/100</f>
        <v>6.7600000000000004E-3</v>
      </c>
      <c r="D9">
        <f t="shared" si="0"/>
        <v>2</v>
      </c>
      <c r="E9" t="s">
        <v>205</v>
      </c>
      <c r="F9" t="s">
        <v>157</v>
      </c>
      <c r="G9" t="s">
        <v>301</v>
      </c>
      <c r="H9" t="s">
        <v>158</v>
      </c>
      <c r="I9" t="str">
        <f t="shared" si="1"/>
        <v>30/360</v>
      </c>
      <c r="J9" t="str">
        <f t="shared" si="2"/>
        <v>EUR SWAP 6M#0000</v>
      </c>
      <c r="K9" s="53">
        <f t="shared" si="3"/>
        <v>0</v>
      </c>
      <c r="L9" t="s">
        <v>462</v>
      </c>
      <c r="M9" t="str">
        <f t="shared" si="4"/>
        <v>OIS_curve#0000</v>
      </c>
      <c r="U9" t="s">
        <v>137</v>
      </c>
    </row>
    <row r="10" spans="1:21" x14ac:dyDescent="0.25">
      <c r="A10" t="str">
        <f>_xll.qlSwapRateHelper2(B10,C10,D10,E10,F10,G10,H10,I10,J10,K10,L10,M10)</f>
        <v>SW6_11 Years#0000</v>
      </c>
      <c r="B10" t="str">
        <f>"SW6_"&amp;'1.DatiInput_Swap6M'!A15</f>
        <v>SW6_11 Years</v>
      </c>
      <c r="C10">
        <f>+'1.DatiInput_Swap6M'!O15/100</f>
        <v>7.7499999999999999E-3</v>
      </c>
      <c r="D10">
        <f t="shared" si="0"/>
        <v>2</v>
      </c>
      <c r="E10" t="s">
        <v>206</v>
      </c>
      <c r="F10" t="s">
        <v>157</v>
      </c>
      <c r="G10" t="s">
        <v>301</v>
      </c>
      <c r="H10" t="s">
        <v>158</v>
      </c>
      <c r="I10" t="str">
        <f t="shared" si="1"/>
        <v>30/360</v>
      </c>
      <c r="J10" t="str">
        <f t="shared" si="2"/>
        <v>EUR SWAP 6M#0000</v>
      </c>
      <c r="K10" s="53">
        <f t="shared" si="3"/>
        <v>0</v>
      </c>
      <c r="L10" t="s">
        <v>462</v>
      </c>
      <c r="M10" t="str">
        <f t="shared" si="4"/>
        <v>OIS_curve#0000</v>
      </c>
      <c r="U10" t="s">
        <v>442</v>
      </c>
    </row>
    <row r="11" spans="1:21" x14ac:dyDescent="0.25">
      <c r="A11" t="str">
        <f>_xll.qlSwapRateHelper2(B11,C11,D11,E11,F11,G11,H11,I11,J11,K11,L11,M11)</f>
        <v>SW6_12 Years#0000</v>
      </c>
      <c r="B11" t="str">
        <f>"SW6_"&amp;'1.DatiInput_Swap6M'!A16</f>
        <v>SW6_12 Years</v>
      </c>
      <c r="C11">
        <f>+'1.DatiInput_Swap6M'!O16/100</f>
        <v>8.6199999999999992E-3</v>
      </c>
      <c r="D11">
        <f t="shared" si="0"/>
        <v>2</v>
      </c>
      <c r="E11" t="s">
        <v>207</v>
      </c>
      <c r="F11" t="s">
        <v>157</v>
      </c>
      <c r="G11" t="s">
        <v>301</v>
      </c>
      <c r="H11" t="s">
        <v>158</v>
      </c>
      <c r="I11" t="str">
        <f t="shared" si="1"/>
        <v>30/360</v>
      </c>
      <c r="J11" t="str">
        <f t="shared" si="2"/>
        <v>EUR SWAP 6M#0000</v>
      </c>
      <c r="K11" s="53">
        <f t="shared" si="3"/>
        <v>0</v>
      </c>
      <c r="L11" t="s">
        <v>462</v>
      </c>
      <c r="M11" t="str">
        <f t="shared" si="4"/>
        <v>OIS_curve#0000</v>
      </c>
      <c r="U11" t="s">
        <v>443</v>
      </c>
    </row>
    <row r="12" spans="1:21" x14ac:dyDescent="0.25">
      <c r="A12" t="str">
        <f>_xll.qlSwapRateHelper2(B12,C12,D12,E12,F12,G12,H12,I12,J12,K12,L12,M12)</f>
        <v>SW6_13 Years#0000</v>
      </c>
      <c r="B12" t="str">
        <f>"SW6_"&amp;'1.DatiInput_Swap6M'!A17</f>
        <v>SW6_13 Years</v>
      </c>
      <c r="C12">
        <f>+'1.DatiInput_Swap6M'!O17/100</f>
        <v>9.3799999999999994E-3</v>
      </c>
      <c r="D12">
        <f t="shared" si="0"/>
        <v>2</v>
      </c>
      <c r="E12" t="s">
        <v>464</v>
      </c>
      <c r="F12" t="s">
        <v>157</v>
      </c>
      <c r="G12" t="s">
        <v>301</v>
      </c>
      <c r="H12" t="s">
        <v>158</v>
      </c>
      <c r="I12" t="str">
        <f t="shared" si="1"/>
        <v>30/360</v>
      </c>
      <c r="J12" t="str">
        <f t="shared" si="2"/>
        <v>EUR SWAP 6M#0000</v>
      </c>
      <c r="K12" s="53">
        <f t="shared" si="3"/>
        <v>0</v>
      </c>
      <c r="L12" t="s">
        <v>462</v>
      </c>
      <c r="M12" t="str">
        <f t="shared" si="4"/>
        <v>OIS_curve#0000</v>
      </c>
      <c r="U12" t="s">
        <v>444</v>
      </c>
    </row>
    <row r="13" spans="1:21" x14ac:dyDescent="0.25">
      <c r="A13" t="str">
        <f>_xll.qlSwapRateHelper2(B13,C13,D13,E13,F13,G13,H13,I13,J13,K13,L13,M13)</f>
        <v>SW6_14 Years#0000</v>
      </c>
      <c r="B13" t="str">
        <f>"SW6_"&amp;'1.DatiInput_Swap6M'!A18</f>
        <v>SW6_14 Years</v>
      </c>
      <c r="C13">
        <f>+'1.DatiInput_Swap6M'!O18/100</f>
        <v>1.0029999999999999E-2</v>
      </c>
      <c r="D13">
        <f t="shared" si="0"/>
        <v>2</v>
      </c>
      <c r="E13" t="s">
        <v>465</v>
      </c>
      <c r="F13" t="s">
        <v>157</v>
      </c>
      <c r="G13" t="s">
        <v>301</v>
      </c>
      <c r="H13" t="s">
        <v>158</v>
      </c>
      <c r="I13" t="str">
        <f t="shared" si="1"/>
        <v>30/360</v>
      </c>
      <c r="J13" t="str">
        <f t="shared" si="2"/>
        <v>EUR SWAP 6M#0000</v>
      </c>
      <c r="K13" s="53">
        <f t="shared" si="3"/>
        <v>0</v>
      </c>
      <c r="L13" t="s">
        <v>462</v>
      </c>
      <c r="M13" t="str">
        <f t="shared" si="4"/>
        <v>OIS_curve#0000</v>
      </c>
      <c r="U13" t="s">
        <v>445</v>
      </c>
    </row>
    <row r="14" spans="1:21" x14ac:dyDescent="0.25">
      <c r="A14" t="str">
        <f>_xll.qlSwapRateHelper2(B14,C14,D14,E14,F14,G14,H14,I14,J14,K14,L14,M14)</f>
        <v>SW6_15 Years#0000</v>
      </c>
      <c r="B14" t="str">
        <f>"SW6_"&amp;'1.DatiInput_Swap6M'!A19</f>
        <v>SW6_15 Years</v>
      </c>
      <c r="C14">
        <f>+'1.DatiInput_Swap6M'!O19/100</f>
        <v>1.0580000000000001E-2</v>
      </c>
      <c r="D14">
        <f t="shared" si="0"/>
        <v>2</v>
      </c>
      <c r="E14" t="s">
        <v>208</v>
      </c>
      <c r="F14" t="s">
        <v>157</v>
      </c>
      <c r="G14" t="s">
        <v>301</v>
      </c>
      <c r="H14" t="s">
        <v>158</v>
      </c>
      <c r="I14" t="str">
        <f t="shared" si="1"/>
        <v>30/360</v>
      </c>
      <c r="J14" t="str">
        <f t="shared" si="2"/>
        <v>EUR SWAP 6M#0000</v>
      </c>
      <c r="K14" s="53">
        <f t="shared" si="3"/>
        <v>0</v>
      </c>
      <c r="L14" t="s">
        <v>462</v>
      </c>
      <c r="M14" t="str">
        <f t="shared" si="4"/>
        <v>OIS_curve#0000</v>
      </c>
      <c r="U14" t="s">
        <v>446</v>
      </c>
    </row>
    <row r="15" spans="1:21" x14ac:dyDescent="0.25">
      <c r="A15" t="str">
        <f>_xll.qlSwapRateHelper2(B15,C15,D15,E15,F15,G15,H15,I15,J15,K15,L15,M15)</f>
        <v>SW6_16 Years#0000</v>
      </c>
      <c r="B15" t="str">
        <f>"SW6_"&amp;'1.DatiInput_Swap6M'!A20</f>
        <v>SW6_16 Years</v>
      </c>
      <c r="C15">
        <f>+'1.DatiInput_Swap6M'!O20/100</f>
        <v>1.1049999999999999E-2</v>
      </c>
      <c r="D15">
        <f t="shared" si="0"/>
        <v>2</v>
      </c>
      <c r="E15" t="s">
        <v>466</v>
      </c>
      <c r="F15" t="s">
        <v>157</v>
      </c>
      <c r="G15" t="s">
        <v>301</v>
      </c>
      <c r="H15" t="s">
        <v>158</v>
      </c>
      <c r="I15" t="str">
        <f t="shared" si="1"/>
        <v>30/360</v>
      </c>
      <c r="J15" t="str">
        <f t="shared" si="2"/>
        <v>EUR SWAP 6M#0000</v>
      </c>
      <c r="K15" s="53">
        <f t="shared" si="3"/>
        <v>0</v>
      </c>
      <c r="L15" t="s">
        <v>462</v>
      </c>
      <c r="M15" t="str">
        <f t="shared" si="4"/>
        <v>OIS_curve#0000</v>
      </c>
      <c r="U15" t="s">
        <v>447</v>
      </c>
    </row>
    <row r="16" spans="1:21" x14ac:dyDescent="0.25">
      <c r="A16" t="str">
        <f>_xll.qlSwapRateHelper2(B16,C16,D16,E16,F16,G16,H16,I16,J16,K16,L16,M16)</f>
        <v>SW6_17 Years#0000</v>
      </c>
      <c r="B16" t="str">
        <f>"SW6_"&amp;'1.DatiInput_Swap6M'!A21</f>
        <v>SW6_17 Years</v>
      </c>
      <c r="C16">
        <f>+'1.DatiInput_Swap6M'!O21/100</f>
        <v>1.1439999999999999E-2</v>
      </c>
      <c r="D16">
        <f t="shared" si="0"/>
        <v>2</v>
      </c>
      <c r="E16" t="s">
        <v>467</v>
      </c>
      <c r="F16" t="s">
        <v>157</v>
      </c>
      <c r="G16" t="s">
        <v>301</v>
      </c>
      <c r="H16" t="s">
        <v>158</v>
      </c>
      <c r="I16" t="str">
        <f t="shared" si="1"/>
        <v>30/360</v>
      </c>
      <c r="J16" t="str">
        <f t="shared" si="2"/>
        <v>EUR SWAP 6M#0000</v>
      </c>
      <c r="K16" s="53">
        <f t="shared" si="3"/>
        <v>0</v>
      </c>
      <c r="L16" t="s">
        <v>462</v>
      </c>
      <c r="M16" t="str">
        <f t="shared" si="4"/>
        <v>OIS_curve#0000</v>
      </c>
      <c r="U16" t="s">
        <v>168</v>
      </c>
    </row>
    <row r="17" spans="1:22" x14ac:dyDescent="0.25">
      <c r="A17" t="str">
        <f>_xll.qlSwapRateHelper2(B17,C17,D17,E17,F17,G17,H17,I17,J17,K17,L17,M17)</f>
        <v>SW6_18 Years#0000</v>
      </c>
      <c r="B17" t="str">
        <f>"SW6_"&amp;'1.DatiInput_Swap6M'!A22</f>
        <v>SW6_18 Years</v>
      </c>
      <c r="C17">
        <f>+'1.DatiInput_Swap6M'!O22/100</f>
        <v>1.176E-2</v>
      </c>
      <c r="D17">
        <f t="shared" si="0"/>
        <v>2</v>
      </c>
      <c r="E17" t="s">
        <v>468</v>
      </c>
      <c r="F17" t="s">
        <v>157</v>
      </c>
      <c r="G17" t="s">
        <v>301</v>
      </c>
      <c r="H17" t="s">
        <v>158</v>
      </c>
      <c r="I17" t="str">
        <f t="shared" si="1"/>
        <v>30/360</v>
      </c>
      <c r="J17" t="str">
        <f t="shared" si="2"/>
        <v>EUR SWAP 6M#0000</v>
      </c>
      <c r="K17" s="53">
        <f t="shared" si="3"/>
        <v>0</v>
      </c>
      <c r="L17" t="s">
        <v>462</v>
      </c>
      <c r="M17" t="str">
        <f t="shared" si="4"/>
        <v>OIS_curve#0000</v>
      </c>
      <c r="U17" t="s">
        <v>425</v>
      </c>
    </row>
    <row r="18" spans="1:22" x14ac:dyDescent="0.25">
      <c r="A18" t="str">
        <f>_xll.qlSwapRateHelper2(B18,C18,D18,E18,F18,G18,H18,I18,J18,K18,L18,M18)</f>
        <v>SW6_19 Years#0000</v>
      </c>
      <c r="B18" t="str">
        <f>"SW6_"&amp;'1.DatiInput_Swap6M'!A23</f>
        <v>SW6_19 Years</v>
      </c>
      <c r="C18">
        <f>+'1.DatiInput_Swap6M'!O23/100</f>
        <v>1.2019999999999999E-2</v>
      </c>
      <c r="D18">
        <f t="shared" si="0"/>
        <v>2</v>
      </c>
      <c r="E18" t="s">
        <v>469</v>
      </c>
      <c r="F18" t="s">
        <v>157</v>
      </c>
      <c r="G18" t="s">
        <v>301</v>
      </c>
      <c r="H18" t="s">
        <v>158</v>
      </c>
      <c r="I18" t="str">
        <f t="shared" si="1"/>
        <v>30/360</v>
      </c>
      <c r="J18" t="str">
        <f t="shared" si="2"/>
        <v>EUR SWAP 6M#0000</v>
      </c>
      <c r="K18" s="53">
        <f t="shared" si="3"/>
        <v>0</v>
      </c>
      <c r="L18" t="s">
        <v>462</v>
      </c>
      <c r="M18" t="str">
        <f t="shared" si="4"/>
        <v>OIS_curve#0000</v>
      </c>
      <c r="U18" t="s">
        <v>426</v>
      </c>
    </row>
    <row r="19" spans="1:22" x14ac:dyDescent="0.25">
      <c r="A19" t="str">
        <f>_xll.qlSwapRateHelper2(B19,C19,D19,E19,F19,G19,H19,I19,J19,K19,L19,M19)</f>
        <v>SW6_20 Years#0000</v>
      </c>
      <c r="B19" t="str">
        <f>"SW6_"&amp;'1.DatiInput_Swap6M'!A24</f>
        <v>SW6_20 Years</v>
      </c>
      <c r="C19">
        <f>+'1.DatiInput_Swap6M'!O24/100</f>
        <v>1.2230000000000001E-2</v>
      </c>
      <c r="D19">
        <f t="shared" si="0"/>
        <v>2</v>
      </c>
      <c r="E19" t="s">
        <v>209</v>
      </c>
      <c r="F19" t="s">
        <v>157</v>
      </c>
      <c r="G19" t="s">
        <v>301</v>
      </c>
      <c r="H19" t="s">
        <v>158</v>
      </c>
      <c r="I19" t="str">
        <f t="shared" si="1"/>
        <v>30/360</v>
      </c>
      <c r="J19" t="str">
        <f t="shared" si="2"/>
        <v>EUR SWAP 6M#0000</v>
      </c>
      <c r="K19" s="53">
        <f t="shared" si="3"/>
        <v>0</v>
      </c>
      <c r="L19" t="s">
        <v>462</v>
      </c>
      <c r="M19" t="str">
        <f t="shared" si="4"/>
        <v>OIS_curve#0000</v>
      </c>
      <c r="U19" t="s">
        <v>111</v>
      </c>
    </row>
    <row r="20" spans="1:22" x14ac:dyDescent="0.25">
      <c r="A20" t="str">
        <f>_xll.qlSwapRateHelper2(B20,C20,D20,E20,F20,G20,H20,I20,J20,K20,L20,M20)</f>
        <v>SW6_21 Years#0000</v>
      </c>
      <c r="B20" t="str">
        <f>"SW6_"&amp;'1.DatiInput_Swap6M'!A25</f>
        <v>SW6_21 Years</v>
      </c>
      <c r="C20">
        <f>+'1.DatiInput_Swap6M'!O25/100</f>
        <v>1.24E-2</v>
      </c>
      <c r="D20">
        <f t="shared" si="0"/>
        <v>2</v>
      </c>
      <c r="E20" t="s">
        <v>470</v>
      </c>
      <c r="F20" t="s">
        <v>157</v>
      </c>
      <c r="G20" t="s">
        <v>301</v>
      </c>
      <c r="H20" t="s">
        <v>158</v>
      </c>
      <c r="I20" t="str">
        <f t="shared" si="1"/>
        <v>30/360</v>
      </c>
      <c r="J20" t="str">
        <f t="shared" si="2"/>
        <v>EUR SWAP 6M#0000</v>
      </c>
      <c r="K20" s="53">
        <f t="shared" si="3"/>
        <v>0</v>
      </c>
      <c r="L20" t="s">
        <v>462</v>
      </c>
      <c r="M20" t="str">
        <f t="shared" si="4"/>
        <v>OIS_curve#0000</v>
      </c>
      <c r="U20" t="s">
        <v>112</v>
      </c>
    </row>
    <row r="21" spans="1:22" x14ac:dyDescent="0.25">
      <c r="A21" t="str">
        <f>_xll.qlSwapRateHelper2(B21,C21,D21,E21,F21,G21,H21,I21,J21,K21,L21,M21)</f>
        <v>SW6_22 Years#0000</v>
      </c>
      <c r="B21" t="str">
        <f>"SW6_"&amp;'1.DatiInput_Swap6M'!A26</f>
        <v>SW6_22 Years</v>
      </c>
      <c r="C21">
        <f>+'1.DatiInput_Swap6M'!O26/100</f>
        <v>1.2549999999999999E-2</v>
      </c>
      <c r="D21">
        <f t="shared" si="0"/>
        <v>2</v>
      </c>
      <c r="E21" t="s">
        <v>471</v>
      </c>
      <c r="F21" t="s">
        <v>157</v>
      </c>
      <c r="G21" t="s">
        <v>301</v>
      </c>
      <c r="H21" t="s">
        <v>158</v>
      </c>
      <c r="I21" t="str">
        <f t="shared" si="1"/>
        <v>30/360</v>
      </c>
      <c r="J21" t="str">
        <f t="shared" si="2"/>
        <v>EUR SWAP 6M#0000</v>
      </c>
      <c r="K21" s="53">
        <f t="shared" si="3"/>
        <v>0</v>
      </c>
      <c r="L21" t="s">
        <v>462</v>
      </c>
      <c r="M21" t="str">
        <f t="shared" si="4"/>
        <v>OIS_curve#0000</v>
      </c>
      <c r="U21" t="s">
        <v>113</v>
      </c>
    </row>
    <row r="22" spans="1:22" x14ac:dyDescent="0.25">
      <c r="A22" t="str">
        <f>_xll.qlSwapRateHelper2(B22,C22,D22,E22,F22,G22,H22,I22,J22,K22,L22,M22)</f>
        <v>SW6_23 Years#0000</v>
      </c>
      <c r="B22" t="str">
        <f>"SW6_"&amp;'1.DatiInput_Swap6M'!A27</f>
        <v>SW6_23 Years</v>
      </c>
      <c r="C22">
        <f>+'1.DatiInput_Swap6M'!O27/100</f>
        <v>1.2659999999999999E-2</v>
      </c>
      <c r="D22">
        <f t="shared" si="0"/>
        <v>2</v>
      </c>
      <c r="E22" t="s">
        <v>472</v>
      </c>
      <c r="F22" t="s">
        <v>157</v>
      </c>
      <c r="G22" t="s">
        <v>301</v>
      </c>
      <c r="H22" t="s">
        <v>158</v>
      </c>
      <c r="I22" t="str">
        <f t="shared" si="1"/>
        <v>30/360</v>
      </c>
      <c r="J22" t="str">
        <f t="shared" si="2"/>
        <v>EUR SWAP 6M#0000</v>
      </c>
      <c r="K22" s="53">
        <f t="shared" si="3"/>
        <v>0</v>
      </c>
      <c r="L22" t="s">
        <v>462</v>
      </c>
      <c r="M22" t="str">
        <f t="shared" si="4"/>
        <v>OIS_curve#0000</v>
      </c>
    </row>
    <row r="23" spans="1:22" x14ac:dyDescent="0.25">
      <c r="A23" t="str">
        <f>_xll.qlSwapRateHelper2(B23,C23,D23,E23,F23,G23,H23,I23,J23,K23,L23,M23)</f>
        <v>SW6_24 Years#0000</v>
      </c>
      <c r="B23" t="str">
        <f>"SW6_"&amp;'1.DatiInput_Swap6M'!A28</f>
        <v>SW6_24 Years</v>
      </c>
      <c r="C23">
        <f>+'1.DatiInput_Swap6M'!O28/100</f>
        <v>1.2760000000000001E-2</v>
      </c>
      <c r="D23">
        <f t="shared" si="0"/>
        <v>2</v>
      </c>
      <c r="E23" t="s">
        <v>473</v>
      </c>
      <c r="F23" t="s">
        <v>157</v>
      </c>
      <c r="G23" t="s">
        <v>301</v>
      </c>
      <c r="H23" t="s">
        <v>158</v>
      </c>
      <c r="I23" t="str">
        <f t="shared" si="1"/>
        <v>30/360</v>
      </c>
      <c r="J23" t="str">
        <f t="shared" si="2"/>
        <v>EUR SWAP 6M#0000</v>
      </c>
      <c r="K23" s="53">
        <f t="shared" si="3"/>
        <v>0</v>
      </c>
      <c r="L23" t="s">
        <v>462</v>
      </c>
      <c r="M23" t="str">
        <f t="shared" si="4"/>
        <v>OIS_curve#0000</v>
      </c>
      <c r="U23" t="s">
        <v>114</v>
      </c>
    </row>
    <row r="24" spans="1:22" x14ac:dyDescent="0.25">
      <c r="A24" t="str">
        <f>_xll.qlSwapRateHelper2(B24,C24,D24,E24,F24,G24,H24,I24,J24,K24,L24,M24)</f>
        <v>SW6_25 Years#0000</v>
      </c>
      <c r="B24" t="str">
        <f>"SW6_"&amp;'1.DatiInput_Swap6M'!A29</f>
        <v>SW6_25 Years</v>
      </c>
      <c r="C24">
        <f>+'1.DatiInput_Swap6M'!O29/100</f>
        <v>1.2829999999999999E-2</v>
      </c>
      <c r="D24">
        <f t="shared" si="0"/>
        <v>2</v>
      </c>
      <c r="E24" t="s">
        <v>210</v>
      </c>
      <c r="F24" t="s">
        <v>157</v>
      </c>
      <c r="G24" t="s">
        <v>301</v>
      </c>
      <c r="H24" t="s">
        <v>158</v>
      </c>
      <c r="I24" t="str">
        <f t="shared" si="1"/>
        <v>30/360</v>
      </c>
      <c r="J24" t="str">
        <f t="shared" si="2"/>
        <v>EUR SWAP 6M#0000</v>
      </c>
      <c r="K24" s="53">
        <f t="shared" si="3"/>
        <v>0</v>
      </c>
      <c r="L24" t="s">
        <v>462</v>
      </c>
      <c r="M24" t="str">
        <f t="shared" si="4"/>
        <v>OIS_curve#0000</v>
      </c>
    </row>
    <row r="25" spans="1:22" x14ac:dyDescent="0.25">
      <c r="A25" t="str">
        <f>_xll.qlSwapRateHelper2(B25,C25,D25,E25,F25,G25,H25,I25,J25,K25,L25,M25)</f>
        <v>SW6_26 Years#0000</v>
      </c>
      <c r="B25" t="str">
        <f>"SW6_"&amp;'1.DatiInput_Swap6M'!A30</f>
        <v>SW6_26 Years</v>
      </c>
      <c r="C25">
        <f>+'1.DatiInput_Swap6M'!O30/100</f>
        <v>1.2889999999999999E-2</v>
      </c>
      <c r="D25">
        <f t="shared" si="0"/>
        <v>2</v>
      </c>
      <c r="E25" t="s">
        <v>474</v>
      </c>
      <c r="F25" t="s">
        <v>157</v>
      </c>
      <c r="G25" t="s">
        <v>301</v>
      </c>
      <c r="H25" t="s">
        <v>158</v>
      </c>
      <c r="I25" t="str">
        <f t="shared" si="1"/>
        <v>30/360</v>
      </c>
      <c r="J25" t="str">
        <f t="shared" si="2"/>
        <v>EUR SWAP 6M#0000</v>
      </c>
      <c r="K25" s="53">
        <f t="shared" si="3"/>
        <v>0</v>
      </c>
      <c r="L25" t="s">
        <v>462</v>
      </c>
      <c r="M25" t="str">
        <f t="shared" si="4"/>
        <v>OIS_curve#0000</v>
      </c>
      <c r="U25" t="s">
        <v>448</v>
      </c>
    </row>
    <row r="26" spans="1:22" x14ac:dyDescent="0.25">
      <c r="A26" t="str">
        <f>_xll.qlSwapRateHelper2(B26,C26,D26,E26,F26,G26,H26,I26,J26,K26,L26,M26)</f>
        <v>SW6_27 Years#0000</v>
      </c>
      <c r="B26" t="str">
        <f>"SW6_"&amp;'1.DatiInput_Swap6M'!A31</f>
        <v>SW6_27 Years</v>
      </c>
      <c r="C26">
        <f>+'1.DatiInput_Swap6M'!O31/100</f>
        <v>1.294E-2</v>
      </c>
      <c r="D26">
        <f t="shared" si="0"/>
        <v>2</v>
      </c>
      <c r="E26" t="s">
        <v>475</v>
      </c>
      <c r="F26" t="s">
        <v>157</v>
      </c>
      <c r="G26" t="s">
        <v>301</v>
      </c>
      <c r="H26" t="s">
        <v>158</v>
      </c>
      <c r="I26" t="str">
        <f t="shared" si="1"/>
        <v>30/360</v>
      </c>
      <c r="J26" t="str">
        <f t="shared" si="2"/>
        <v>EUR SWAP 6M#0000</v>
      </c>
      <c r="K26" s="53">
        <f t="shared" si="3"/>
        <v>0</v>
      </c>
      <c r="L26" t="s">
        <v>462</v>
      </c>
      <c r="M26" t="str">
        <f t="shared" si="4"/>
        <v>OIS_curve#0000</v>
      </c>
    </row>
    <row r="27" spans="1:22" x14ac:dyDescent="0.25">
      <c r="A27" t="str">
        <f>_xll.qlSwapRateHelper2(B27,C27,D27,E27,F27,G27,H27,I27,J27,K27,L27,M27)</f>
        <v>SW6_28 Years#0000</v>
      </c>
      <c r="B27" t="str">
        <f>"SW6_"&amp;'1.DatiInput_Swap6M'!A32</f>
        <v>SW6_28 Years</v>
      </c>
      <c r="C27">
        <f>+'1.DatiInput_Swap6M'!O32/100</f>
        <v>1.298E-2</v>
      </c>
      <c r="D27">
        <f t="shared" si="0"/>
        <v>2</v>
      </c>
      <c r="E27" t="s">
        <v>476</v>
      </c>
      <c r="F27" t="s">
        <v>157</v>
      </c>
      <c r="G27" t="s">
        <v>301</v>
      </c>
      <c r="H27" t="s">
        <v>158</v>
      </c>
      <c r="I27" t="str">
        <f t="shared" si="1"/>
        <v>30/360</v>
      </c>
      <c r="J27" t="str">
        <f t="shared" si="2"/>
        <v>EUR SWAP 6M#0000</v>
      </c>
      <c r="K27" s="53">
        <f t="shared" si="3"/>
        <v>0</v>
      </c>
      <c r="L27" t="s">
        <v>462</v>
      </c>
      <c r="M27" t="str">
        <f t="shared" si="4"/>
        <v>OIS_curve#0000</v>
      </c>
      <c r="U27" t="s">
        <v>116</v>
      </c>
    </row>
    <row r="28" spans="1:22" x14ac:dyDescent="0.25">
      <c r="A28" t="str">
        <f>_xll.qlSwapRateHelper2(B28,C28,D28,E28,F28,G28,H28,I28,J28,K28,L28,M28)</f>
        <v>SW6_29 Years#0000</v>
      </c>
      <c r="B28" t="str">
        <f>"SW6_"&amp;'1.DatiInput_Swap6M'!A33</f>
        <v>SW6_29 Years</v>
      </c>
      <c r="C28">
        <f>+'1.DatiInput_Swap6M'!O33/100</f>
        <v>1.3009999999999999E-2</v>
      </c>
      <c r="D28">
        <f t="shared" si="0"/>
        <v>2</v>
      </c>
      <c r="E28" t="s">
        <v>477</v>
      </c>
      <c r="F28" t="s">
        <v>157</v>
      </c>
      <c r="G28" t="s">
        <v>301</v>
      </c>
      <c r="H28" t="s">
        <v>158</v>
      </c>
      <c r="I28" t="str">
        <f t="shared" si="1"/>
        <v>30/360</v>
      </c>
      <c r="J28" t="str">
        <f t="shared" si="2"/>
        <v>EUR SWAP 6M#0000</v>
      </c>
      <c r="K28" s="53">
        <f t="shared" si="3"/>
        <v>0</v>
      </c>
      <c r="L28" t="s">
        <v>462</v>
      </c>
      <c r="M28" t="str">
        <f t="shared" si="4"/>
        <v>OIS_curve#0000</v>
      </c>
    </row>
    <row r="29" spans="1:22" x14ac:dyDescent="0.25">
      <c r="A29" t="str">
        <f>_xll.qlSwapRateHelper2(B29,C29,D29,E29,F29,G29,H29,I29,J29,K29,L29,M29)</f>
        <v>SW6_30 Years#0000</v>
      </c>
      <c r="B29" t="str">
        <f>"SW6_"&amp;'1.DatiInput_Swap6M'!A34</f>
        <v>SW6_30 Years</v>
      </c>
      <c r="C29">
        <f>+'1.DatiInput_Swap6M'!O34/100</f>
        <v>1.303E-2</v>
      </c>
      <c r="D29">
        <f t="shared" si="0"/>
        <v>2</v>
      </c>
      <c r="E29" t="s">
        <v>211</v>
      </c>
      <c r="F29" t="s">
        <v>157</v>
      </c>
      <c r="G29" t="s">
        <v>301</v>
      </c>
      <c r="H29" t="s">
        <v>158</v>
      </c>
      <c r="I29" t="str">
        <f t="shared" si="1"/>
        <v>30/360</v>
      </c>
      <c r="J29" t="str">
        <f t="shared" si="2"/>
        <v>EUR SWAP 6M#0000</v>
      </c>
      <c r="K29" s="53">
        <f t="shared" si="3"/>
        <v>0</v>
      </c>
      <c r="L29" t="s">
        <v>462</v>
      </c>
      <c r="M29" t="str">
        <f t="shared" si="4"/>
        <v>OIS_curve#0000</v>
      </c>
      <c r="U29" t="s">
        <v>117</v>
      </c>
    </row>
    <row r="30" spans="1:22" x14ac:dyDescent="0.25">
      <c r="A30" t="str">
        <f>_xll.qlSwapRateHelper2(B30,C30,D30,E30,F30,G30,H30,I30,J30,K30,L30,M30)</f>
        <v>SW6_35 Years#0000</v>
      </c>
      <c r="B30" t="str">
        <f>"SW6_"&amp;'1.DatiInput_Swap6M'!A35</f>
        <v>SW6_35 Years</v>
      </c>
      <c r="C30">
        <f>+'1.DatiInput_Swap6M'!O35/100</f>
        <v>1.3080000000000001E-2</v>
      </c>
      <c r="D30">
        <f t="shared" si="0"/>
        <v>2</v>
      </c>
      <c r="E30" t="s">
        <v>478</v>
      </c>
      <c r="F30" t="s">
        <v>157</v>
      </c>
      <c r="G30" t="s">
        <v>301</v>
      </c>
      <c r="H30" t="s">
        <v>158</v>
      </c>
      <c r="I30" t="str">
        <f t="shared" si="1"/>
        <v>30/360</v>
      </c>
      <c r="J30" t="str">
        <f t="shared" si="2"/>
        <v>EUR SWAP 6M#0000</v>
      </c>
      <c r="K30" s="53">
        <f t="shared" si="3"/>
        <v>0</v>
      </c>
      <c r="L30" t="s">
        <v>462</v>
      </c>
      <c r="M30" t="str">
        <f t="shared" si="4"/>
        <v>OIS_curve#0000</v>
      </c>
    </row>
    <row r="31" spans="1:22" x14ac:dyDescent="0.25">
      <c r="A31" t="str">
        <f>_xll.qlSwapRateHelper2(B31,C31,D31,E31,F31,G31,H31,I31,J31,K31,L31,M31)</f>
        <v>SW6_40 Years#0000</v>
      </c>
      <c r="B31" t="str">
        <f>"SW6_"&amp;'1.DatiInput_Swap6M'!A36</f>
        <v>SW6_40 Years</v>
      </c>
      <c r="C31">
        <f>+'1.DatiInput_Swap6M'!O36/100</f>
        <v>1.302E-2</v>
      </c>
      <c r="D31">
        <f t="shared" si="0"/>
        <v>2</v>
      </c>
      <c r="E31" t="s">
        <v>212</v>
      </c>
      <c r="F31" t="s">
        <v>157</v>
      </c>
      <c r="G31" t="s">
        <v>301</v>
      </c>
      <c r="H31" t="s">
        <v>158</v>
      </c>
      <c r="I31" t="str">
        <f t="shared" si="1"/>
        <v>30/360</v>
      </c>
      <c r="J31" t="str">
        <f t="shared" si="2"/>
        <v>EUR SWAP 6M#0000</v>
      </c>
      <c r="K31" s="53">
        <f t="shared" si="3"/>
        <v>0</v>
      </c>
      <c r="L31" t="s">
        <v>462</v>
      </c>
      <c r="M31" t="str">
        <f t="shared" si="4"/>
        <v>OIS_curve#0000</v>
      </c>
      <c r="U31" t="s">
        <v>118</v>
      </c>
    </row>
    <row r="32" spans="1:22" x14ac:dyDescent="0.25">
      <c r="A32" t="str">
        <f>_xll.qlSwapRateHelper2(B32,C32,D32,E32,F32,G32,H32,I32,J32,K32,L32,M32)</f>
        <v>SW6_50 Years#0000</v>
      </c>
      <c r="B32" t="str">
        <f>"SW6_"&amp;'1.DatiInput_Swap6M'!A37</f>
        <v>SW6_50 Years</v>
      </c>
      <c r="C32">
        <f>+'1.DatiInput_Swap6M'!O37/100</f>
        <v>1.2509999999999999E-2</v>
      </c>
      <c r="D32">
        <f t="shared" ref="D32:D33" si="5">+D31</f>
        <v>2</v>
      </c>
      <c r="E32" t="s">
        <v>213</v>
      </c>
      <c r="F32" t="s">
        <v>157</v>
      </c>
      <c r="G32" t="s">
        <v>301</v>
      </c>
      <c r="H32" t="s">
        <v>158</v>
      </c>
      <c r="I32" t="str">
        <f t="shared" ref="I32:I33" si="6">+I31</f>
        <v>30/360</v>
      </c>
      <c r="J32" t="str">
        <f t="shared" ref="J32:J33" si="7">+J31</f>
        <v>EUR SWAP 6M#0000</v>
      </c>
      <c r="K32" s="53">
        <f t="shared" ref="K32:K33" si="8">+K31</f>
        <v>0</v>
      </c>
      <c r="L32" t="s">
        <v>462</v>
      </c>
      <c r="M32" t="str">
        <f t="shared" ref="M32:M33" si="9">+M31</f>
        <v>OIS_curve#0000</v>
      </c>
      <c r="U32" s="14" t="s">
        <v>119</v>
      </c>
      <c r="V32" s="14" t="s">
        <v>120</v>
      </c>
    </row>
    <row r="33" spans="1:22" x14ac:dyDescent="0.25">
      <c r="A33" t="str">
        <f>_xll.qlSwapRateHelper2(B33,C33,D33,E33,F33,G33,H33,I33,J33,K33,L33,M33)</f>
        <v>SW6_60 Years#0000</v>
      </c>
      <c r="B33" t="str">
        <f>"SW6_"&amp;'1.DatiInput_Swap6M'!A38</f>
        <v>SW6_60 Years</v>
      </c>
      <c r="C33">
        <f>+'1.DatiInput_Swap6M'!O38/100</f>
        <v>1.2159999999999999E-2</v>
      </c>
      <c r="D33">
        <f t="shared" si="5"/>
        <v>2</v>
      </c>
      <c r="E33" t="s">
        <v>214</v>
      </c>
      <c r="F33" t="s">
        <v>157</v>
      </c>
      <c r="G33" t="s">
        <v>301</v>
      </c>
      <c r="H33" t="s">
        <v>158</v>
      </c>
      <c r="I33" t="str">
        <f t="shared" si="6"/>
        <v>30/360</v>
      </c>
      <c r="J33" t="str">
        <f t="shared" si="7"/>
        <v>EUR SWAP 6M#0000</v>
      </c>
      <c r="K33" s="53">
        <f t="shared" si="8"/>
        <v>0</v>
      </c>
      <c r="L33" t="s">
        <v>462</v>
      </c>
      <c r="M33" t="str">
        <f t="shared" si="9"/>
        <v>OIS_curve#0000</v>
      </c>
      <c r="U33" s="14" t="s">
        <v>142</v>
      </c>
      <c r="V33" s="14" t="s">
        <v>174</v>
      </c>
    </row>
    <row r="34" spans="1:22" ht="30" x14ac:dyDescent="0.25">
      <c r="U34" s="14" t="s">
        <v>170</v>
      </c>
      <c r="V34" s="14" t="s">
        <v>449</v>
      </c>
    </row>
    <row r="35" spans="1:22" x14ac:dyDescent="0.25">
      <c r="U35" s="14" t="s">
        <v>144</v>
      </c>
      <c r="V35" s="14" t="s">
        <v>172</v>
      </c>
    </row>
    <row r="36" spans="1:22" x14ac:dyDescent="0.25">
      <c r="U36" s="14" t="s">
        <v>148</v>
      </c>
      <c r="V36" s="14" t="s">
        <v>149</v>
      </c>
    </row>
    <row r="37" spans="1:22" ht="45" x14ac:dyDescent="0.25">
      <c r="U37" s="14" t="s">
        <v>450</v>
      </c>
      <c r="V37" s="14" t="s">
        <v>451</v>
      </c>
    </row>
    <row r="38" spans="1:22" ht="30" x14ac:dyDescent="0.25">
      <c r="U38" s="14" t="s">
        <v>452</v>
      </c>
      <c r="V38" s="14" t="s">
        <v>453</v>
      </c>
    </row>
    <row r="39" spans="1:22" x14ac:dyDescent="0.25">
      <c r="U39" s="14" t="s">
        <v>454</v>
      </c>
      <c r="V39" s="14" t="s">
        <v>455</v>
      </c>
    </row>
    <row r="40" spans="1:22" x14ac:dyDescent="0.25">
      <c r="U40" s="14" t="s">
        <v>456</v>
      </c>
      <c r="V40" s="14" t="s">
        <v>457</v>
      </c>
    </row>
    <row r="41" spans="1:22" x14ac:dyDescent="0.25">
      <c r="U41" s="14" t="s">
        <v>458</v>
      </c>
      <c r="V41" s="14" t="s">
        <v>459</v>
      </c>
    </row>
    <row r="42" spans="1:22" x14ac:dyDescent="0.25">
      <c r="U42" s="14" t="s">
        <v>460</v>
      </c>
      <c r="V42" s="14" t="s">
        <v>461</v>
      </c>
    </row>
    <row r="43" spans="1:22" ht="30" x14ac:dyDescent="0.25">
      <c r="U43" s="14" t="s">
        <v>177</v>
      </c>
      <c r="V43" s="14" t="s">
        <v>178</v>
      </c>
    </row>
    <row r="44" spans="1:22" ht="45" x14ac:dyDescent="0.25">
      <c r="U44" s="14" t="s">
        <v>432</v>
      </c>
      <c r="V44" s="14" t="s">
        <v>433</v>
      </c>
    </row>
    <row r="45" spans="1:22" ht="30" x14ac:dyDescent="0.25">
      <c r="U45" s="14" t="s">
        <v>434</v>
      </c>
      <c r="V45" s="14" t="s">
        <v>435</v>
      </c>
    </row>
    <row r="46" spans="1:22" x14ac:dyDescent="0.25">
      <c r="U46" s="14" t="s">
        <v>123</v>
      </c>
      <c r="V46" s="14" t="s">
        <v>124</v>
      </c>
    </row>
    <row r="47" spans="1:22" x14ac:dyDescent="0.25">
      <c r="U47" s="14" t="s">
        <v>125</v>
      </c>
      <c r="V47" s="14" t="s">
        <v>126</v>
      </c>
    </row>
    <row r="48" spans="1:22" x14ac:dyDescent="0.25">
      <c r="U48" s="14" t="s">
        <v>127</v>
      </c>
      <c r="V48" s="14" t="s">
        <v>128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workbookViewId="0">
      <selection activeCell="D3" sqref="D3"/>
    </sheetView>
  </sheetViews>
  <sheetFormatPr defaultRowHeight="15" x14ac:dyDescent="0.25"/>
  <cols>
    <col min="1" max="1" width="60" bestFit="1" customWidth="1"/>
    <col min="2" max="2" width="44.42578125" bestFit="1" customWidth="1"/>
    <col min="3" max="3" width="53.85546875" bestFit="1" customWidth="1"/>
    <col min="4" max="4" width="15" bestFit="1" customWidth="1"/>
    <col min="5" max="5" width="9.85546875" bestFit="1" customWidth="1"/>
    <col min="6" max="6" width="6.5703125" bestFit="1" customWidth="1"/>
    <col min="8" max="8" width="15.28515625" bestFit="1" customWidth="1"/>
  </cols>
  <sheetData>
    <row r="1" spans="1:17" x14ac:dyDescent="0.25">
      <c r="A1" s="13" t="s">
        <v>245</v>
      </c>
      <c r="C1" t="s">
        <v>274</v>
      </c>
      <c r="D1" s="11" t="s">
        <v>273</v>
      </c>
      <c r="E1" s="11" t="s">
        <v>119</v>
      </c>
      <c r="F1" s="11" t="s">
        <v>254</v>
      </c>
      <c r="G1" s="11" t="s">
        <v>148</v>
      </c>
      <c r="H1" s="11" t="s">
        <v>229</v>
      </c>
      <c r="I1" s="11" t="s">
        <v>154</v>
      </c>
      <c r="J1" s="11" t="s">
        <v>259</v>
      </c>
      <c r="K1" s="11" t="s">
        <v>261</v>
      </c>
      <c r="L1" s="11" t="s">
        <v>263</v>
      </c>
      <c r="M1" s="11" t="s">
        <v>265</v>
      </c>
      <c r="N1" s="11" t="s">
        <v>267</v>
      </c>
      <c r="O1" s="11" t="s">
        <v>123</v>
      </c>
      <c r="P1" s="11" t="s">
        <v>125</v>
      </c>
      <c r="Q1" s="11" t="s">
        <v>127</v>
      </c>
    </row>
    <row r="2" spans="1:17" x14ac:dyDescent="0.25">
      <c r="C2" s="17" t="str">
        <f>_xll.ohRangeRetrieveError(D2)</f>
        <v/>
      </c>
      <c r="D2" s="11" t="str">
        <f t="array" ref="D2">_xll.qlPiecewiseYieldCurve(E2,F2,G2,H2:H40,I2,J2,K2,L2,M2,N2)</f>
        <v>OIS_curve#0000</v>
      </c>
      <c r="E2" s="11" t="s">
        <v>269</v>
      </c>
      <c r="F2" s="11">
        <v>2</v>
      </c>
      <c r="G2" s="11" t="s">
        <v>270</v>
      </c>
      <c r="H2" s="11" t="str">
        <f>+'7.RatesHelperSelection_EONIA'!A2</f>
        <v>OISOVN</v>
      </c>
      <c r="I2" s="11" t="s">
        <v>159</v>
      </c>
      <c r="J2" s="11"/>
      <c r="K2" s="11"/>
      <c r="L2" s="11"/>
      <c r="M2" s="11" t="s">
        <v>271</v>
      </c>
      <c r="N2" s="11" t="s">
        <v>272</v>
      </c>
      <c r="O2" s="11"/>
      <c r="P2" s="11"/>
      <c r="Q2" s="11"/>
    </row>
    <row r="3" spans="1:17" x14ac:dyDescent="0.25">
      <c r="A3" t="s">
        <v>107</v>
      </c>
      <c r="D3" s="11"/>
      <c r="E3" s="11"/>
      <c r="F3" s="11"/>
      <c r="G3" s="11"/>
      <c r="H3" s="11" t="str">
        <f>+'7.RatesHelperSelection_EONIA'!A3</f>
        <v>OISTN</v>
      </c>
      <c r="I3" s="11"/>
      <c r="J3" s="11"/>
      <c r="K3" s="11"/>
      <c r="L3" s="11"/>
      <c r="M3" s="11"/>
      <c r="N3" s="11"/>
      <c r="O3" s="11"/>
      <c r="P3" s="11"/>
      <c r="Q3" s="11"/>
    </row>
    <row r="4" spans="1:17" x14ac:dyDescent="0.25">
      <c r="A4" t="s">
        <v>246</v>
      </c>
      <c r="D4" s="11"/>
      <c r="E4" s="11"/>
      <c r="F4" s="11"/>
      <c r="G4" s="11"/>
      <c r="H4" s="11" t="str">
        <f>+'7.RatesHelperSelection_EONIA'!A4</f>
        <v>OISSN</v>
      </c>
      <c r="I4" s="11"/>
      <c r="J4" s="11"/>
      <c r="K4" s="11"/>
      <c r="L4" s="11"/>
      <c r="M4" s="11"/>
      <c r="N4" s="11"/>
      <c r="O4" s="11"/>
      <c r="P4" s="11"/>
      <c r="Q4" s="11"/>
    </row>
    <row r="5" spans="1:17" x14ac:dyDescent="0.25">
      <c r="A5" t="s">
        <v>109</v>
      </c>
      <c r="D5" s="11"/>
      <c r="E5" s="11"/>
      <c r="F5" s="11"/>
      <c r="G5" s="11"/>
      <c r="H5" s="11" t="str">
        <f>+'7.RatesHelperSelection_EONIA'!A5</f>
        <v>OIS1 Week</v>
      </c>
      <c r="I5" s="11"/>
      <c r="J5" s="11"/>
      <c r="K5" s="11"/>
      <c r="L5" s="11"/>
      <c r="M5" s="11"/>
      <c r="N5" s="11"/>
      <c r="O5" s="11"/>
      <c r="P5" s="11"/>
      <c r="Q5" s="11"/>
    </row>
    <row r="6" spans="1:17" x14ac:dyDescent="0.25">
      <c r="A6" t="s">
        <v>247</v>
      </c>
      <c r="D6" s="11"/>
      <c r="E6" s="11"/>
      <c r="F6" s="11"/>
      <c r="G6" s="11"/>
      <c r="H6" s="11" t="str">
        <f>+'7.RatesHelperSelection_EONIA'!A6</f>
        <v>OIS2 Weeks</v>
      </c>
      <c r="I6" s="11"/>
      <c r="J6" s="11"/>
      <c r="K6" s="11"/>
      <c r="L6" s="11"/>
      <c r="M6" s="11"/>
      <c r="N6" s="11"/>
      <c r="O6" s="11"/>
      <c r="P6" s="11"/>
      <c r="Q6" s="11"/>
    </row>
    <row r="7" spans="1:17" x14ac:dyDescent="0.25">
      <c r="A7" t="s">
        <v>137</v>
      </c>
      <c r="D7" s="11"/>
      <c r="E7" s="11"/>
      <c r="F7" s="11"/>
      <c r="G7" s="11"/>
      <c r="H7" s="11" t="str">
        <f>+'7.RatesHelperSelection_EONIA'!A7</f>
        <v>OIS3 Weeks</v>
      </c>
      <c r="I7" s="11"/>
      <c r="J7" s="11"/>
      <c r="K7" s="11"/>
      <c r="L7" s="11"/>
      <c r="M7" s="11"/>
      <c r="N7" s="11"/>
      <c r="O7" s="11"/>
      <c r="P7" s="11"/>
      <c r="Q7" s="11"/>
    </row>
    <row r="8" spans="1:17" x14ac:dyDescent="0.25">
      <c r="A8" t="s">
        <v>219</v>
      </c>
      <c r="D8" s="11"/>
      <c r="E8" s="11"/>
      <c r="F8" s="11"/>
      <c r="G8" s="11"/>
      <c r="H8" s="11" t="str">
        <f>+'7.RatesHelperSelection_EONIA'!A8</f>
        <v>OIS1 Month</v>
      </c>
      <c r="I8" s="11"/>
      <c r="J8" s="11"/>
      <c r="K8" s="11"/>
      <c r="L8" s="11"/>
      <c r="M8" s="11"/>
      <c r="N8" s="11"/>
      <c r="O8" s="11"/>
      <c r="P8" s="11"/>
      <c r="Q8" s="11"/>
    </row>
    <row r="9" spans="1:17" x14ac:dyDescent="0.25">
      <c r="A9" t="s">
        <v>140</v>
      </c>
      <c r="D9" s="11"/>
      <c r="E9" s="11"/>
      <c r="F9" s="11"/>
      <c r="G9" s="11"/>
      <c r="H9" s="11" t="str">
        <f>+'7.RatesHelperSelection_EONIA'!A9</f>
        <v>OIS2 Months</v>
      </c>
      <c r="I9" s="11"/>
      <c r="J9" s="11"/>
      <c r="K9" s="11"/>
      <c r="L9" s="11"/>
      <c r="M9" s="11"/>
      <c r="N9" s="11"/>
      <c r="O9" s="11"/>
      <c r="P9" s="11"/>
      <c r="Q9" s="11"/>
    </row>
    <row r="10" spans="1:17" x14ac:dyDescent="0.25">
      <c r="A10" t="s">
        <v>248</v>
      </c>
      <c r="D10" s="11"/>
      <c r="E10" s="11"/>
      <c r="F10" s="11"/>
      <c r="G10" s="11"/>
      <c r="H10" s="11" t="str">
        <f>+'7.RatesHelperSelection_EONIA'!A10</f>
        <v>OIS3 Months</v>
      </c>
      <c r="I10" s="11"/>
      <c r="J10" s="11"/>
      <c r="K10" s="11"/>
      <c r="L10" s="11"/>
      <c r="M10" s="11"/>
      <c r="N10" s="11"/>
      <c r="O10" s="11"/>
      <c r="P10" s="11"/>
      <c r="Q10" s="11"/>
    </row>
    <row r="11" spans="1:17" x14ac:dyDescent="0.25">
      <c r="A11" t="s">
        <v>249</v>
      </c>
      <c r="D11" s="11"/>
      <c r="E11" s="11"/>
      <c r="F11" s="11"/>
      <c r="G11" s="11"/>
      <c r="H11" s="11" t="str">
        <f>+'7.RatesHelperSelection_EONIA'!A11</f>
        <v>OIS4 Months</v>
      </c>
      <c r="I11" s="11"/>
      <c r="J11" s="11"/>
      <c r="K11" s="11"/>
      <c r="L11" s="11"/>
      <c r="M11" s="11"/>
      <c r="N11" s="11"/>
      <c r="O11" s="11"/>
      <c r="P11" s="11"/>
      <c r="Q11" s="11"/>
    </row>
    <row r="12" spans="1:17" x14ac:dyDescent="0.25">
      <c r="A12" t="s">
        <v>250</v>
      </c>
      <c r="D12" s="11"/>
      <c r="E12" s="11"/>
      <c r="F12" s="11"/>
      <c r="G12" s="11"/>
      <c r="H12" s="11" t="str">
        <f>+'7.RatesHelperSelection_EONIA'!A12</f>
        <v>OIS5 Months</v>
      </c>
      <c r="I12" s="11"/>
      <c r="J12" s="11"/>
      <c r="K12" s="11"/>
      <c r="L12" s="11"/>
      <c r="M12" s="11"/>
      <c r="N12" s="11"/>
      <c r="O12" s="11"/>
      <c r="P12" s="11"/>
      <c r="Q12" s="11"/>
    </row>
    <row r="13" spans="1:17" x14ac:dyDescent="0.25">
      <c r="A13" t="s">
        <v>251</v>
      </c>
      <c r="D13" s="11"/>
      <c r="E13" s="11"/>
      <c r="F13" s="11"/>
      <c r="G13" s="11"/>
      <c r="H13" s="11" t="str">
        <f>+'7.RatesHelperSelection_EONIA'!A13</f>
        <v>OIS6 Months</v>
      </c>
      <c r="I13" s="11"/>
      <c r="J13" s="11"/>
      <c r="K13" s="11"/>
      <c r="L13" s="11"/>
      <c r="M13" s="11"/>
      <c r="N13" s="11"/>
      <c r="O13" s="11"/>
      <c r="P13" s="11"/>
      <c r="Q13" s="11"/>
    </row>
    <row r="14" spans="1:17" x14ac:dyDescent="0.25">
      <c r="A14" t="s">
        <v>252</v>
      </c>
      <c r="D14" s="11"/>
      <c r="E14" s="11"/>
      <c r="F14" s="11"/>
      <c r="G14" s="11"/>
      <c r="H14" s="11" t="str">
        <f>+'7.RatesHelperSelection_EONIA'!A14</f>
        <v>OIS7 Months</v>
      </c>
      <c r="I14" s="11"/>
      <c r="J14" s="11"/>
      <c r="K14" s="11"/>
      <c r="L14" s="11"/>
      <c r="M14" s="11"/>
      <c r="N14" s="11"/>
      <c r="O14" s="11"/>
      <c r="P14" s="11"/>
      <c r="Q14" s="11"/>
    </row>
    <row r="15" spans="1:17" x14ac:dyDescent="0.25">
      <c r="A15" t="s">
        <v>111</v>
      </c>
      <c r="D15" s="11"/>
      <c r="E15" s="11"/>
      <c r="F15" s="11"/>
      <c r="G15" s="11"/>
      <c r="H15" s="11" t="str">
        <f>+'7.RatesHelperSelection_EONIA'!A15</f>
        <v>OIS8 Months</v>
      </c>
      <c r="I15" s="11"/>
      <c r="J15" s="11"/>
      <c r="K15" s="11"/>
      <c r="L15" s="11"/>
      <c r="M15" s="11"/>
      <c r="N15" s="11"/>
      <c r="O15" s="11"/>
      <c r="P15" s="11"/>
      <c r="Q15" s="11"/>
    </row>
    <row r="16" spans="1:17" x14ac:dyDescent="0.25">
      <c r="A16" t="s">
        <v>112</v>
      </c>
      <c r="D16" s="11"/>
      <c r="E16" s="11"/>
      <c r="F16" s="11"/>
      <c r="G16" s="11"/>
      <c r="H16" s="11" t="str">
        <f>+'7.RatesHelperSelection_EONIA'!A16</f>
        <v>OIS9 Months</v>
      </c>
      <c r="I16" s="11"/>
      <c r="J16" s="11"/>
      <c r="K16" s="11"/>
      <c r="L16" s="11"/>
      <c r="M16" s="11"/>
      <c r="N16" s="11"/>
      <c r="O16" s="11"/>
      <c r="P16" s="11"/>
      <c r="Q16" s="11"/>
    </row>
    <row r="17" spans="1:17" x14ac:dyDescent="0.25">
      <c r="A17" t="s">
        <v>113</v>
      </c>
      <c r="D17" s="11"/>
      <c r="E17" s="11"/>
      <c r="F17" s="11"/>
      <c r="G17" s="11"/>
      <c r="H17" s="11" t="str">
        <f>+'7.RatesHelperSelection_EONIA'!A17</f>
        <v>OIS10 Months</v>
      </c>
      <c r="I17" s="11"/>
      <c r="J17" s="11"/>
      <c r="K17" s="11"/>
      <c r="L17" s="11"/>
      <c r="M17" s="11"/>
      <c r="N17" s="11"/>
      <c r="O17" s="11"/>
      <c r="P17" s="11"/>
      <c r="Q17" s="11"/>
    </row>
    <row r="18" spans="1:17" x14ac:dyDescent="0.25">
      <c r="D18" s="11"/>
      <c r="E18" s="11"/>
      <c r="F18" s="11"/>
      <c r="G18" s="11"/>
      <c r="H18" s="11" t="str">
        <f>+'7.RatesHelperSelection_EONIA'!A18</f>
        <v>OIS11 Months</v>
      </c>
      <c r="I18" s="11"/>
      <c r="J18" s="11"/>
      <c r="K18" s="11"/>
      <c r="L18" s="11"/>
      <c r="M18" s="11"/>
      <c r="N18" s="11"/>
      <c r="O18" s="11"/>
      <c r="P18" s="11"/>
      <c r="Q18" s="11"/>
    </row>
    <row r="19" spans="1:17" x14ac:dyDescent="0.25">
      <c r="A19" t="s">
        <v>114</v>
      </c>
      <c r="D19" s="11"/>
      <c r="E19" s="11"/>
      <c r="F19" s="11"/>
      <c r="G19" s="11"/>
      <c r="H19" s="11" t="str">
        <f>+'7.RatesHelperSelection_EONIA'!A19</f>
        <v>OIS1 Year</v>
      </c>
      <c r="I19" s="11"/>
      <c r="J19" s="11"/>
      <c r="K19" s="11"/>
      <c r="L19" s="11"/>
      <c r="M19" s="11"/>
      <c r="N19" s="11"/>
      <c r="O19" s="11"/>
      <c r="P19" s="11"/>
      <c r="Q19" s="11"/>
    </row>
    <row r="20" spans="1:17" x14ac:dyDescent="0.25">
      <c r="D20" s="11"/>
      <c r="E20" s="11"/>
      <c r="F20" s="11"/>
      <c r="G20" s="11"/>
      <c r="H20" s="11" t="str">
        <f>+'7.RatesHelperSelection_EONIA'!A20</f>
        <v>15 Months</v>
      </c>
      <c r="I20" s="11"/>
      <c r="J20" s="11"/>
      <c r="K20" s="11"/>
      <c r="L20" s="11"/>
      <c r="M20" s="11"/>
      <c r="N20" s="11"/>
      <c r="O20" s="11"/>
      <c r="P20" s="11"/>
      <c r="Q20" s="11"/>
    </row>
    <row r="21" spans="1:17" x14ac:dyDescent="0.25">
      <c r="A21" t="s">
        <v>253</v>
      </c>
      <c r="D21" s="11"/>
      <c r="E21" s="11"/>
      <c r="F21" s="11"/>
      <c r="G21" s="11"/>
      <c r="H21" s="11" t="str">
        <f>+'7.RatesHelperSelection_EONIA'!A21</f>
        <v>18 Months</v>
      </c>
      <c r="I21" s="11"/>
      <c r="J21" s="11"/>
      <c r="K21" s="11"/>
      <c r="L21" s="11"/>
      <c r="M21" s="11"/>
      <c r="N21" s="11"/>
      <c r="O21" s="11"/>
      <c r="P21" s="11"/>
      <c r="Q21" s="11"/>
    </row>
    <row r="22" spans="1:17" x14ac:dyDescent="0.25">
      <c r="D22" s="11"/>
      <c r="E22" s="11"/>
      <c r="F22" s="11"/>
      <c r="G22" s="11"/>
      <c r="H22" s="11" t="str">
        <f>+'7.RatesHelperSelection_EONIA'!A22</f>
        <v>21 Months</v>
      </c>
      <c r="I22" s="11"/>
      <c r="J22" s="11"/>
      <c r="K22" s="11"/>
      <c r="L22" s="11"/>
      <c r="M22" s="11"/>
      <c r="N22" s="11"/>
      <c r="O22" s="11"/>
      <c r="P22" s="11"/>
      <c r="Q22" s="11"/>
    </row>
    <row r="23" spans="1:17" x14ac:dyDescent="0.25">
      <c r="A23" t="s">
        <v>116</v>
      </c>
      <c r="D23" s="11"/>
      <c r="E23" s="11"/>
      <c r="F23" s="11"/>
      <c r="G23" s="11"/>
      <c r="H23" s="11" t="str">
        <f>+'7.RatesHelperSelection_EONIA'!A23</f>
        <v>2 Years</v>
      </c>
      <c r="I23" s="11"/>
      <c r="J23" s="11"/>
      <c r="K23" s="11"/>
      <c r="L23" s="11"/>
      <c r="M23" s="11"/>
      <c r="N23" s="11"/>
      <c r="O23" s="11"/>
      <c r="P23" s="11"/>
      <c r="Q23" s="11"/>
    </row>
    <row r="24" spans="1:17" x14ac:dyDescent="0.25">
      <c r="D24" s="11"/>
      <c r="E24" s="11"/>
      <c r="F24" s="11"/>
      <c r="G24" s="11"/>
      <c r="H24" s="11" t="str">
        <f>+'7.RatesHelperSelection_EONIA'!A24</f>
        <v>3 Years</v>
      </c>
      <c r="I24" s="11"/>
      <c r="J24" s="11"/>
      <c r="K24" s="11"/>
      <c r="L24" s="11"/>
      <c r="M24" s="11"/>
      <c r="N24" s="11"/>
      <c r="O24" s="11"/>
      <c r="P24" s="11"/>
      <c r="Q24" s="11"/>
    </row>
    <row r="25" spans="1:17" x14ac:dyDescent="0.25">
      <c r="A25" t="s">
        <v>117</v>
      </c>
      <c r="D25" s="11"/>
      <c r="E25" s="11"/>
      <c r="F25" s="11"/>
      <c r="G25" s="11"/>
      <c r="H25" s="11" t="str">
        <f>+'7.RatesHelperSelection_EONIA'!A25</f>
        <v>4 Years</v>
      </c>
      <c r="I25" s="11"/>
      <c r="J25" s="11"/>
      <c r="K25" s="11"/>
      <c r="L25" s="11"/>
      <c r="M25" s="11"/>
      <c r="N25" s="11"/>
      <c r="O25" s="11"/>
      <c r="P25" s="11"/>
      <c r="Q25" s="11"/>
    </row>
    <row r="26" spans="1:17" x14ac:dyDescent="0.25">
      <c r="D26" s="11"/>
      <c r="E26" s="11"/>
      <c r="F26" s="11"/>
      <c r="G26" s="11"/>
      <c r="H26" s="11" t="str">
        <f>+'7.RatesHelperSelection_EONIA'!A26</f>
        <v>5 Years</v>
      </c>
      <c r="I26" s="11"/>
      <c r="J26" s="11"/>
      <c r="K26" s="11"/>
      <c r="L26" s="11"/>
      <c r="M26" s="11"/>
      <c r="N26" s="11"/>
      <c r="O26" s="11"/>
      <c r="P26" s="11"/>
      <c r="Q26" s="11"/>
    </row>
    <row r="27" spans="1:17" x14ac:dyDescent="0.25">
      <c r="A27" t="s">
        <v>118</v>
      </c>
      <c r="D27" s="11"/>
      <c r="E27" s="11"/>
      <c r="F27" s="11"/>
      <c r="G27" s="11"/>
      <c r="H27" s="11" t="str">
        <f>+'7.RatesHelperSelection_EONIA'!A27</f>
        <v>6 Years</v>
      </c>
      <c r="I27" s="11"/>
      <c r="J27" s="11"/>
      <c r="K27" s="11"/>
      <c r="L27" s="11"/>
      <c r="M27" s="11"/>
      <c r="N27" s="11"/>
      <c r="O27" s="11"/>
      <c r="P27" s="11"/>
      <c r="Q27" s="11"/>
    </row>
    <row r="28" spans="1:17" x14ac:dyDescent="0.25">
      <c r="A28" s="14" t="s">
        <v>119</v>
      </c>
      <c r="B28" s="14" t="s">
        <v>120</v>
      </c>
      <c r="D28" s="11"/>
      <c r="E28" s="11"/>
      <c r="F28" s="11"/>
      <c r="G28" s="11"/>
      <c r="H28" s="11" t="str">
        <f>+'7.RatesHelperSelection_EONIA'!A28</f>
        <v>7 Years</v>
      </c>
      <c r="I28" s="11"/>
      <c r="J28" s="11"/>
      <c r="K28" s="11"/>
      <c r="L28" s="11"/>
      <c r="M28" s="11"/>
      <c r="N28" s="11"/>
      <c r="O28" s="11"/>
      <c r="P28" s="11"/>
      <c r="Q28" s="11"/>
    </row>
    <row r="29" spans="1:17" ht="45" x14ac:dyDescent="0.25">
      <c r="A29" s="14" t="s">
        <v>254</v>
      </c>
      <c r="B29" s="14" t="s">
        <v>255</v>
      </c>
      <c r="D29" s="11"/>
      <c r="E29" s="11"/>
      <c r="F29" s="11"/>
      <c r="G29" s="11"/>
      <c r="H29" s="11" t="str">
        <f>+'7.RatesHelperSelection_EONIA'!A29</f>
        <v>8 Years</v>
      </c>
      <c r="I29" s="11"/>
      <c r="J29" s="11"/>
      <c r="K29" s="11"/>
      <c r="L29" s="11"/>
      <c r="M29" s="11"/>
      <c r="N29" s="11"/>
      <c r="O29" s="11"/>
      <c r="P29" s="11"/>
      <c r="Q29" s="11"/>
    </row>
    <row r="30" spans="1:17" ht="30" x14ac:dyDescent="0.25">
      <c r="A30" s="14" t="s">
        <v>148</v>
      </c>
      <c r="B30" s="14" t="s">
        <v>256</v>
      </c>
      <c r="D30" s="11"/>
      <c r="E30" s="11"/>
      <c r="F30" s="11"/>
      <c r="G30" s="11"/>
      <c r="H30" s="11" t="str">
        <f>+'7.RatesHelperSelection_EONIA'!A30</f>
        <v>9 Years</v>
      </c>
      <c r="I30" s="11"/>
      <c r="J30" s="11"/>
      <c r="K30" s="11"/>
      <c r="L30" s="11"/>
      <c r="M30" s="11"/>
      <c r="N30" s="11"/>
      <c r="O30" s="11"/>
      <c r="P30" s="11"/>
      <c r="Q30" s="11"/>
    </row>
    <row r="31" spans="1:17" x14ac:dyDescent="0.25">
      <c r="A31" s="14" t="s">
        <v>229</v>
      </c>
      <c r="B31" s="14" t="s">
        <v>257</v>
      </c>
      <c r="D31" s="11"/>
      <c r="E31" s="11"/>
      <c r="F31" s="11"/>
      <c r="G31" s="11"/>
      <c r="H31" s="11" t="str">
        <f>+'7.RatesHelperSelection_EONIA'!A31</f>
        <v>10 Years</v>
      </c>
      <c r="I31" s="11"/>
      <c r="J31" s="11"/>
      <c r="K31" s="11"/>
      <c r="L31" s="11"/>
      <c r="M31" s="11"/>
      <c r="N31" s="11"/>
      <c r="O31" s="11"/>
      <c r="P31" s="11"/>
      <c r="Q31" s="11"/>
    </row>
    <row r="32" spans="1:17" ht="30" x14ac:dyDescent="0.25">
      <c r="A32" s="14" t="s">
        <v>154</v>
      </c>
      <c r="B32" s="14" t="s">
        <v>258</v>
      </c>
      <c r="D32" s="11"/>
      <c r="E32" s="11"/>
      <c r="F32" s="11"/>
      <c r="G32" s="11"/>
      <c r="H32" s="11" t="str">
        <f>+'7.RatesHelperSelection_EONIA'!A32</f>
        <v>11 Years</v>
      </c>
      <c r="I32" s="11"/>
      <c r="J32" s="11"/>
      <c r="K32" s="11"/>
      <c r="L32" s="11"/>
      <c r="M32" s="11"/>
      <c r="N32" s="11"/>
      <c r="O32" s="11"/>
      <c r="P32" s="11"/>
      <c r="Q32" s="11"/>
    </row>
    <row r="33" spans="1:17" x14ac:dyDescent="0.25">
      <c r="A33" s="14" t="s">
        <v>259</v>
      </c>
      <c r="B33" s="14" t="s">
        <v>260</v>
      </c>
      <c r="D33" s="11"/>
      <c r="E33" s="11"/>
      <c r="F33" s="11"/>
      <c r="G33" s="11"/>
      <c r="H33" s="11" t="str">
        <f>+'7.RatesHelperSelection_EONIA'!A33</f>
        <v>12 Years</v>
      </c>
      <c r="I33" s="11"/>
      <c r="J33" s="11"/>
      <c r="K33" s="11"/>
      <c r="L33" s="11"/>
      <c r="M33" s="11"/>
      <c r="N33" s="11"/>
      <c r="O33" s="11"/>
      <c r="P33" s="11"/>
      <c r="Q33" s="11"/>
    </row>
    <row r="34" spans="1:17" x14ac:dyDescent="0.25">
      <c r="A34" s="14" t="s">
        <v>261</v>
      </c>
      <c r="B34" s="14" t="s">
        <v>262</v>
      </c>
      <c r="D34" s="11"/>
      <c r="E34" s="11"/>
      <c r="F34" s="11"/>
      <c r="G34" s="11"/>
      <c r="H34" s="11" t="str">
        <f>+'7.RatesHelperSelection_EONIA'!A34</f>
        <v>15 Years</v>
      </c>
      <c r="I34" s="11"/>
      <c r="J34" s="11"/>
      <c r="K34" s="11"/>
      <c r="L34" s="11"/>
      <c r="M34" s="11"/>
      <c r="N34" s="11"/>
      <c r="O34" s="11"/>
      <c r="P34" s="11"/>
      <c r="Q34" s="11"/>
    </row>
    <row r="35" spans="1:17" x14ac:dyDescent="0.25">
      <c r="A35" s="14" t="s">
        <v>263</v>
      </c>
      <c r="B35" s="14" t="s">
        <v>264</v>
      </c>
      <c r="D35" s="11"/>
      <c r="E35" s="11"/>
      <c r="F35" s="11"/>
      <c r="G35" s="11"/>
      <c r="H35" s="11" t="str">
        <f>+'7.RatesHelperSelection_EONIA'!A35</f>
        <v>20 Years</v>
      </c>
      <c r="I35" s="11"/>
      <c r="J35" s="11"/>
      <c r="K35" s="11"/>
      <c r="L35" s="11"/>
      <c r="M35" s="11"/>
      <c r="N35" s="11"/>
      <c r="O35" s="11"/>
      <c r="P35" s="11"/>
      <c r="Q35" s="11"/>
    </row>
    <row r="36" spans="1:17" ht="30" x14ac:dyDescent="0.25">
      <c r="A36" s="14" t="s">
        <v>265</v>
      </c>
      <c r="B36" s="14" t="s">
        <v>266</v>
      </c>
      <c r="D36" s="11"/>
      <c r="E36" s="11"/>
      <c r="F36" s="11"/>
      <c r="G36" s="11"/>
      <c r="H36" s="11" t="str">
        <f>+'7.RatesHelperSelection_EONIA'!A36</f>
        <v>25 Years</v>
      </c>
      <c r="I36" s="11"/>
      <c r="J36" s="11"/>
      <c r="K36" s="11"/>
      <c r="L36" s="11"/>
      <c r="M36" s="11"/>
      <c r="N36" s="11"/>
      <c r="O36" s="11"/>
      <c r="P36" s="11"/>
      <c r="Q36" s="11"/>
    </row>
    <row r="37" spans="1:17" ht="45" x14ac:dyDescent="0.25">
      <c r="A37" s="14" t="s">
        <v>267</v>
      </c>
      <c r="B37" s="14" t="s">
        <v>268</v>
      </c>
      <c r="D37" s="11"/>
      <c r="E37" s="11"/>
      <c r="F37" s="11"/>
      <c r="G37" s="11"/>
      <c r="H37" s="11" t="str">
        <f>+'7.RatesHelperSelection_EONIA'!A37</f>
        <v>30 Years</v>
      </c>
      <c r="I37" s="11"/>
      <c r="J37" s="11"/>
      <c r="K37" s="11"/>
      <c r="L37" s="11"/>
      <c r="M37" s="11"/>
      <c r="N37" s="11"/>
      <c r="O37" s="11"/>
      <c r="P37" s="11"/>
      <c r="Q37" s="11"/>
    </row>
    <row r="38" spans="1:17" x14ac:dyDescent="0.25">
      <c r="A38" s="14" t="s">
        <v>123</v>
      </c>
      <c r="B38" s="14" t="s">
        <v>124</v>
      </c>
      <c r="D38" s="11"/>
      <c r="E38" s="11"/>
      <c r="F38" s="11"/>
      <c r="G38" s="11"/>
      <c r="H38" s="11" t="str">
        <f>+'7.RatesHelperSelection_EONIA'!A38</f>
        <v>40 Years</v>
      </c>
      <c r="I38" s="11"/>
      <c r="J38" s="11"/>
      <c r="K38" s="11"/>
      <c r="L38" s="11"/>
      <c r="M38" s="11"/>
      <c r="N38" s="11"/>
      <c r="O38" s="11"/>
      <c r="P38" s="11"/>
      <c r="Q38" s="11"/>
    </row>
    <row r="39" spans="1:17" x14ac:dyDescent="0.25">
      <c r="A39" s="14" t="s">
        <v>125</v>
      </c>
      <c r="B39" s="14" t="s">
        <v>126</v>
      </c>
      <c r="D39" s="11"/>
      <c r="E39" s="11"/>
      <c r="F39" s="11"/>
      <c r="G39" s="11"/>
      <c r="H39" s="11" t="str">
        <f>+'7.RatesHelperSelection_EONIA'!A39</f>
        <v>50 Years</v>
      </c>
      <c r="I39" s="11"/>
      <c r="J39" s="11"/>
      <c r="K39" s="11"/>
      <c r="L39" s="11"/>
      <c r="M39" s="11"/>
      <c r="N39" s="11"/>
      <c r="O39" s="11"/>
      <c r="P39" s="11"/>
      <c r="Q39" s="11"/>
    </row>
    <row r="40" spans="1:17" x14ac:dyDescent="0.25">
      <c r="A40" s="14" t="s">
        <v>127</v>
      </c>
      <c r="B40" s="14" t="s">
        <v>128</v>
      </c>
      <c r="D40" s="11"/>
      <c r="E40" s="11"/>
      <c r="F40" s="11"/>
      <c r="G40" s="11"/>
      <c r="H40" s="11" t="str">
        <f>+'7.RatesHelperSelection_EONIA'!A40</f>
        <v>60 Years</v>
      </c>
      <c r="I40" s="11"/>
      <c r="J40" s="11"/>
      <c r="K40" s="11"/>
      <c r="L40" s="11"/>
      <c r="M40" s="11"/>
      <c r="N40" s="11"/>
      <c r="O40" s="11"/>
      <c r="P40" s="11"/>
      <c r="Q40" s="1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activeCell="G10" sqref="G10"/>
    </sheetView>
  </sheetViews>
  <sheetFormatPr defaultRowHeight="15" x14ac:dyDescent="0.25"/>
  <cols>
    <col min="1" max="1" width="19.5703125" bestFit="1" customWidth="1"/>
    <col min="2" max="2" width="11.85546875" bestFit="1" customWidth="1"/>
    <col min="3" max="3" width="7.5703125" bestFit="1" customWidth="1"/>
    <col min="11" max="11" width="35.5703125" bestFit="1" customWidth="1"/>
  </cols>
  <sheetData>
    <row r="1" spans="1:11" x14ac:dyDescent="0.25">
      <c r="A1" t="s">
        <v>244</v>
      </c>
      <c r="B1" t="s">
        <v>229</v>
      </c>
      <c r="C1" t="s">
        <v>231</v>
      </c>
      <c r="D1" t="s">
        <v>233</v>
      </c>
      <c r="E1" t="s">
        <v>235</v>
      </c>
      <c r="F1" t="s">
        <v>237</v>
      </c>
      <c r="G1" s="9" t="s">
        <v>239</v>
      </c>
      <c r="H1" s="9" t="s">
        <v>241</v>
      </c>
      <c r="I1" t="s">
        <v>125</v>
      </c>
      <c r="K1" s="13" t="s">
        <v>216</v>
      </c>
    </row>
    <row r="2" spans="1:11" x14ac:dyDescent="0.25">
      <c r="A2" t="str">
        <f t="array" ref="A2:A40">_xll.qlRateHelperSelection(B2:B40,C2:C40,,,,G2,H2)</f>
        <v>OISOVN</v>
      </c>
      <c r="B2" t="str">
        <f>+'5.Deposits_EONIA'!A2</f>
        <v>OISOVN#0000</v>
      </c>
      <c r="C2">
        <v>1</v>
      </c>
      <c r="G2" s="9" t="s">
        <v>243</v>
      </c>
      <c r="H2" s="9">
        <v>1</v>
      </c>
    </row>
    <row r="3" spans="1:11" x14ac:dyDescent="0.25">
      <c r="A3" t="str">
        <v>OISTN</v>
      </c>
      <c r="B3" t="str">
        <f>+'5.Deposits_EONIA'!A3</f>
        <v>OISTN#0000</v>
      </c>
      <c r="C3">
        <f>+C2</f>
        <v>1</v>
      </c>
      <c r="K3" t="s">
        <v>217</v>
      </c>
    </row>
    <row r="4" spans="1:11" x14ac:dyDescent="0.25">
      <c r="A4" t="str">
        <v>OISSN</v>
      </c>
      <c r="B4" t="str">
        <f>+'5.Deposits_EONIA'!A4</f>
        <v>OISSN#0000</v>
      </c>
      <c r="C4">
        <f t="shared" ref="C4:C40" si="0">+C3</f>
        <v>1</v>
      </c>
      <c r="K4" t="s">
        <v>218</v>
      </c>
    </row>
    <row r="5" spans="1:11" x14ac:dyDescent="0.25">
      <c r="A5" t="str">
        <v>OIS1 Week</v>
      </c>
      <c r="B5" t="str">
        <f>+'5.Deposits_EONIA'!A5</f>
        <v>OIS1 Week#0000</v>
      </c>
      <c r="C5">
        <f t="shared" si="0"/>
        <v>1</v>
      </c>
      <c r="K5" t="s">
        <v>219</v>
      </c>
    </row>
    <row r="6" spans="1:11" x14ac:dyDescent="0.25">
      <c r="A6" t="str">
        <v>OIS2 Weeks</v>
      </c>
      <c r="B6" t="str">
        <f>+'5.Deposits_EONIA'!A6</f>
        <v>OIS2 Weeks#0000</v>
      </c>
      <c r="C6">
        <f t="shared" si="0"/>
        <v>1</v>
      </c>
      <c r="K6" t="s">
        <v>220</v>
      </c>
    </row>
    <row r="7" spans="1:11" x14ac:dyDescent="0.25">
      <c r="A7" t="str">
        <v>OIS3 Weeks</v>
      </c>
      <c r="B7" t="str">
        <f>+'5.Deposits_EONIA'!A7</f>
        <v>OIS3 Weeks#0000</v>
      </c>
      <c r="C7">
        <f t="shared" si="0"/>
        <v>1</v>
      </c>
      <c r="K7" t="s">
        <v>221</v>
      </c>
    </row>
    <row r="8" spans="1:11" x14ac:dyDescent="0.25">
      <c r="A8" t="str">
        <v>OIS1 Month</v>
      </c>
      <c r="B8" t="str">
        <f>+'5.Deposits_EONIA'!A8</f>
        <v>OIS1 Month#0000</v>
      </c>
      <c r="C8">
        <f t="shared" si="0"/>
        <v>1</v>
      </c>
      <c r="K8" t="s">
        <v>222</v>
      </c>
    </row>
    <row r="9" spans="1:11" x14ac:dyDescent="0.25">
      <c r="A9" t="str">
        <v>OIS2 Months</v>
      </c>
      <c r="B9" t="str">
        <f>+'5.Deposits_EONIA'!A9</f>
        <v>OIS2 Months#0000</v>
      </c>
      <c r="C9">
        <f t="shared" si="0"/>
        <v>1</v>
      </c>
      <c r="K9" t="s">
        <v>223</v>
      </c>
    </row>
    <row r="10" spans="1:11" x14ac:dyDescent="0.25">
      <c r="A10" t="str">
        <v>OIS3 Months</v>
      </c>
      <c r="B10" t="str">
        <f>+'5.Deposits_EONIA'!A10</f>
        <v>OIS3 Months#0000</v>
      </c>
      <c r="C10">
        <f t="shared" si="0"/>
        <v>1</v>
      </c>
      <c r="K10" t="s">
        <v>224</v>
      </c>
    </row>
    <row r="11" spans="1:11" x14ac:dyDescent="0.25">
      <c r="A11" t="str">
        <v>OIS4 Months</v>
      </c>
      <c r="B11" t="str">
        <f>+'5.Deposits_EONIA'!A11</f>
        <v>OIS4 Months#0000</v>
      </c>
      <c r="C11">
        <f t="shared" si="0"/>
        <v>1</v>
      </c>
      <c r="K11" t="s">
        <v>225</v>
      </c>
    </row>
    <row r="12" spans="1:11" x14ac:dyDescent="0.25">
      <c r="A12" t="str">
        <v>OIS5 Months</v>
      </c>
      <c r="B12" t="str">
        <f>+'5.Deposits_EONIA'!A12</f>
        <v>OIS5 Months#0000</v>
      </c>
      <c r="C12">
        <f t="shared" si="0"/>
        <v>1</v>
      </c>
      <c r="K12" t="s">
        <v>226</v>
      </c>
    </row>
    <row r="13" spans="1:11" x14ac:dyDescent="0.25">
      <c r="A13" t="str">
        <v>OIS6 Months</v>
      </c>
      <c r="B13" t="str">
        <f>+'5.Deposits_EONIA'!A13</f>
        <v>OIS6 Months#0000</v>
      </c>
      <c r="C13">
        <f t="shared" si="0"/>
        <v>1</v>
      </c>
    </row>
    <row r="14" spans="1:11" x14ac:dyDescent="0.25">
      <c r="A14" t="str">
        <v>OIS7 Months</v>
      </c>
      <c r="B14" t="str">
        <f>+'5.Deposits_EONIA'!A14</f>
        <v>OIS7 Months#0000</v>
      </c>
      <c r="C14">
        <f t="shared" si="0"/>
        <v>1</v>
      </c>
      <c r="K14" t="s">
        <v>114</v>
      </c>
    </row>
    <row r="15" spans="1:11" x14ac:dyDescent="0.25">
      <c r="A15" t="str">
        <v>OIS8 Months</v>
      </c>
      <c r="B15" t="str">
        <f>+'5.Deposits_EONIA'!A15</f>
        <v>OIS8 Months#0000</v>
      </c>
      <c r="C15">
        <f t="shared" si="0"/>
        <v>1</v>
      </c>
    </row>
    <row r="16" spans="1:11" x14ac:dyDescent="0.25">
      <c r="A16" t="str">
        <v>OIS9 Months</v>
      </c>
      <c r="B16" t="str">
        <f>+'5.Deposits_EONIA'!A16</f>
        <v>OIS9 Months#0000</v>
      </c>
      <c r="C16">
        <f t="shared" si="0"/>
        <v>1</v>
      </c>
      <c r="K16" t="s">
        <v>227</v>
      </c>
    </row>
    <row r="17" spans="1:12" x14ac:dyDescent="0.25">
      <c r="A17" t="str">
        <v>OIS10 Months</v>
      </c>
      <c r="B17" t="str">
        <f>+'5.Deposits_EONIA'!A17</f>
        <v>OIS10 Months#0000</v>
      </c>
      <c r="C17">
        <f t="shared" si="0"/>
        <v>1</v>
      </c>
    </row>
    <row r="18" spans="1:12" x14ac:dyDescent="0.25">
      <c r="A18" t="str">
        <v>OIS11 Months</v>
      </c>
      <c r="B18" t="str">
        <f>+'5.Deposits_EONIA'!A18</f>
        <v>OIS11 Months#0000</v>
      </c>
      <c r="C18">
        <f t="shared" si="0"/>
        <v>1</v>
      </c>
      <c r="K18" t="s">
        <v>116</v>
      </c>
    </row>
    <row r="19" spans="1:12" x14ac:dyDescent="0.25">
      <c r="A19" t="str">
        <v>OIS1 Year</v>
      </c>
      <c r="B19" t="str">
        <f>+'5.Deposits_EONIA'!A19</f>
        <v>OIS1 Year#0000</v>
      </c>
      <c r="C19">
        <f t="shared" si="0"/>
        <v>1</v>
      </c>
    </row>
    <row r="20" spans="1:12" x14ac:dyDescent="0.25">
      <c r="A20" t="str">
        <v>15 Months</v>
      </c>
      <c r="B20" t="str">
        <f>+'6.OIS_EONIA'!A2</f>
        <v>15 Months#0000</v>
      </c>
      <c r="C20">
        <f t="shared" si="0"/>
        <v>1</v>
      </c>
      <c r="K20" t="s">
        <v>228</v>
      </c>
    </row>
    <row r="21" spans="1:12" x14ac:dyDescent="0.25">
      <c r="A21" t="str">
        <v>18 Months</v>
      </c>
      <c r="B21" t="str">
        <f>+'6.OIS_EONIA'!A3</f>
        <v>18 Months#0000</v>
      </c>
      <c r="C21">
        <f t="shared" si="0"/>
        <v>1</v>
      </c>
    </row>
    <row r="22" spans="1:12" x14ac:dyDescent="0.25">
      <c r="A22" t="str">
        <v>21 Months</v>
      </c>
      <c r="B22" t="str">
        <f>+'6.OIS_EONIA'!A4</f>
        <v>21 Months#0000</v>
      </c>
      <c r="C22">
        <f t="shared" si="0"/>
        <v>1</v>
      </c>
      <c r="K22" t="s">
        <v>118</v>
      </c>
    </row>
    <row r="23" spans="1:12" ht="45" x14ac:dyDescent="0.25">
      <c r="A23" t="str">
        <v>2 Years</v>
      </c>
      <c r="B23" t="str">
        <f>+'6.OIS_EONIA'!A5</f>
        <v>2 Years#0000</v>
      </c>
      <c r="C23">
        <f t="shared" si="0"/>
        <v>1</v>
      </c>
      <c r="K23" s="14" t="s">
        <v>229</v>
      </c>
      <c r="L23" s="14" t="s">
        <v>230</v>
      </c>
    </row>
    <row r="24" spans="1:12" ht="120" x14ac:dyDescent="0.25">
      <c r="A24" t="str">
        <v>3 Years</v>
      </c>
      <c r="B24" t="str">
        <f>+'6.OIS_EONIA'!A6</f>
        <v>3 Years#0000</v>
      </c>
      <c r="C24">
        <f t="shared" si="0"/>
        <v>1</v>
      </c>
      <c r="K24" s="14" t="s">
        <v>231</v>
      </c>
      <c r="L24" s="14" t="s">
        <v>232</v>
      </c>
    </row>
    <row r="25" spans="1:12" ht="195" x14ac:dyDescent="0.25">
      <c r="A25" t="str">
        <v>4 Years</v>
      </c>
      <c r="B25" t="str">
        <f>+'6.OIS_EONIA'!A7</f>
        <v>4 Years#0000</v>
      </c>
      <c r="C25">
        <f t="shared" si="0"/>
        <v>1</v>
      </c>
      <c r="K25" s="14" t="s">
        <v>233</v>
      </c>
      <c r="L25" s="14" t="s">
        <v>234</v>
      </c>
    </row>
    <row r="26" spans="1:12" ht="240" x14ac:dyDescent="0.25">
      <c r="A26" t="str">
        <v>5 Years</v>
      </c>
      <c r="B26" t="str">
        <f>+'6.OIS_EONIA'!A8</f>
        <v>5 Years#0000</v>
      </c>
      <c r="C26">
        <f t="shared" si="0"/>
        <v>1</v>
      </c>
      <c r="K26" s="14" t="s">
        <v>235</v>
      </c>
      <c r="L26" s="14" t="s">
        <v>236</v>
      </c>
    </row>
    <row r="27" spans="1:12" ht="345" x14ac:dyDescent="0.25">
      <c r="A27" t="str">
        <v>6 Years</v>
      </c>
      <c r="B27" t="str">
        <f>+'6.OIS_EONIA'!A9</f>
        <v>6 Years#0000</v>
      </c>
      <c r="C27">
        <f t="shared" si="0"/>
        <v>1</v>
      </c>
      <c r="K27" s="14" t="s">
        <v>237</v>
      </c>
      <c r="L27" s="14" t="s">
        <v>238</v>
      </c>
    </row>
    <row r="28" spans="1:12" ht="105" x14ac:dyDescent="0.25">
      <c r="A28" t="str">
        <v>7 Years</v>
      </c>
      <c r="B28" t="str">
        <f>+'6.OIS_EONIA'!A10</f>
        <v>7 Years#0000</v>
      </c>
      <c r="C28">
        <f t="shared" si="0"/>
        <v>1</v>
      </c>
      <c r="K28" s="14" t="s">
        <v>239</v>
      </c>
      <c r="L28" s="14" t="s">
        <v>240</v>
      </c>
    </row>
    <row r="29" spans="1:12" ht="195" x14ac:dyDescent="0.25">
      <c r="A29" t="str">
        <v>8 Years</v>
      </c>
      <c r="B29" t="str">
        <f>+'6.OIS_EONIA'!A11</f>
        <v>8 Years#0000</v>
      </c>
      <c r="C29">
        <f t="shared" si="0"/>
        <v>1</v>
      </c>
      <c r="K29" s="14" t="s">
        <v>241</v>
      </c>
      <c r="L29" s="14" t="s">
        <v>242</v>
      </c>
    </row>
    <row r="30" spans="1:12" ht="60" x14ac:dyDescent="0.25">
      <c r="A30" t="str">
        <v>9 Years</v>
      </c>
      <c r="B30" t="str">
        <f>+'6.OIS_EONIA'!A12</f>
        <v>9 Years#0000</v>
      </c>
      <c r="C30">
        <f t="shared" si="0"/>
        <v>1</v>
      </c>
      <c r="K30" s="14" t="s">
        <v>125</v>
      </c>
      <c r="L30" s="14" t="s">
        <v>126</v>
      </c>
    </row>
    <row r="31" spans="1:12" x14ac:dyDescent="0.25">
      <c r="A31" t="str">
        <v>10 Years</v>
      </c>
      <c r="B31" t="str">
        <f>+'6.OIS_EONIA'!A13</f>
        <v>10 Years#0000</v>
      </c>
      <c r="C31">
        <f t="shared" si="0"/>
        <v>1</v>
      </c>
    </row>
    <row r="32" spans="1:12" x14ac:dyDescent="0.25">
      <c r="A32" t="str">
        <v>11 Years</v>
      </c>
      <c r="B32" t="str">
        <f>+'6.OIS_EONIA'!A14</f>
        <v>11 Years#0000</v>
      </c>
      <c r="C32">
        <f t="shared" si="0"/>
        <v>1</v>
      </c>
    </row>
    <row r="33" spans="1:3" x14ac:dyDescent="0.25">
      <c r="A33" t="str">
        <v>12 Years</v>
      </c>
      <c r="B33" t="str">
        <f>+'6.OIS_EONIA'!A15</f>
        <v>12 Years#0000</v>
      </c>
      <c r="C33">
        <f t="shared" si="0"/>
        <v>1</v>
      </c>
    </row>
    <row r="34" spans="1:3" x14ac:dyDescent="0.25">
      <c r="A34" t="str">
        <v>15 Years</v>
      </c>
      <c r="B34" t="str">
        <f>+'6.OIS_EONIA'!A16</f>
        <v>15 Years#0000</v>
      </c>
      <c r="C34">
        <f t="shared" si="0"/>
        <v>1</v>
      </c>
    </row>
    <row r="35" spans="1:3" x14ac:dyDescent="0.25">
      <c r="A35" t="str">
        <v>20 Years</v>
      </c>
      <c r="B35" t="str">
        <f>+'6.OIS_EONIA'!A17</f>
        <v>20 Years#0000</v>
      </c>
      <c r="C35">
        <f t="shared" si="0"/>
        <v>1</v>
      </c>
    </row>
    <row r="36" spans="1:3" x14ac:dyDescent="0.25">
      <c r="A36" t="str">
        <v>25 Years</v>
      </c>
      <c r="B36" t="str">
        <f>+'6.OIS_EONIA'!A18</f>
        <v>25 Years#0000</v>
      </c>
      <c r="C36">
        <f t="shared" si="0"/>
        <v>1</v>
      </c>
    </row>
    <row r="37" spans="1:3" x14ac:dyDescent="0.25">
      <c r="A37" t="str">
        <v>30 Years</v>
      </c>
      <c r="B37" t="str">
        <f>+'6.OIS_EONIA'!A19</f>
        <v>30 Years#0000</v>
      </c>
      <c r="C37">
        <f t="shared" si="0"/>
        <v>1</v>
      </c>
    </row>
    <row r="38" spans="1:3" x14ac:dyDescent="0.25">
      <c r="A38" t="str">
        <v>40 Years</v>
      </c>
      <c r="B38" t="str">
        <f>+'6.OIS_EONIA'!A20</f>
        <v>40 Years#0000</v>
      </c>
      <c r="C38">
        <f t="shared" si="0"/>
        <v>1</v>
      </c>
    </row>
    <row r="39" spans="1:3" x14ac:dyDescent="0.25">
      <c r="A39" t="str">
        <v>50 Years</v>
      </c>
      <c r="B39" t="str">
        <f>+'6.OIS_EONIA'!A21</f>
        <v>50 Years#0000</v>
      </c>
      <c r="C39">
        <f t="shared" si="0"/>
        <v>1</v>
      </c>
    </row>
    <row r="40" spans="1:3" x14ac:dyDescent="0.25">
      <c r="A40" t="str">
        <v>60 Years</v>
      </c>
      <c r="B40" t="str">
        <f>+'6.OIS_EONIA'!A22</f>
        <v>60 Years#0000</v>
      </c>
      <c r="C40">
        <f t="shared" si="0"/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K44" sqref="K44"/>
    </sheetView>
  </sheetViews>
  <sheetFormatPr defaultRowHeight="15" x14ac:dyDescent="0.25"/>
  <cols>
    <col min="1" max="1" width="19.5703125" bestFit="1" customWidth="1"/>
    <col min="2" max="2" width="18.28515625" bestFit="1" customWidth="1"/>
    <col min="3" max="3" width="7.5703125" bestFit="1" customWidth="1"/>
    <col min="11" max="11" width="35.5703125" bestFit="1" customWidth="1"/>
  </cols>
  <sheetData>
    <row r="1" spans="1:11" x14ac:dyDescent="0.25">
      <c r="A1" t="s">
        <v>244</v>
      </c>
      <c r="B1" t="s">
        <v>229</v>
      </c>
      <c r="C1" t="s">
        <v>231</v>
      </c>
      <c r="D1" t="s">
        <v>233</v>
      </c>
      <c r="E1" t="s">
        <v>235</v>
      </c>
      <c r="F1" t="s">
        <v>237</v>
      </c>
      <c r="G1" s="9" t="s">
        <v>239</v>
      </c>
      <c r="H1" s="9" t="s">
        <v>241</v>
      </c>
      <c r="I1" t="s">
        <v>125</v>
      </c>
      <c r="K1" s="13" t="s">
        <v>216</v>
      </c>
    </row>
    <row r="2" spans="1:11" x14ac:dyDescent="0.25">
      <c r="A2" t="str">
        <f t="array" ref="A2:A38">_xll.qlRateHelperSelection(B2:B38,C2:C38,,,,G2,H2)</f>
        <v>SW6_6M</v>
      </c>
      <c r="B2" t="str">
        <f>+'5.Deposits_Swap6M'!A2</f>
        <v>SW6_6M#0000</v>
      </c>
      <c r="C2">
        <v>1</v>
      </c>
      <c r="G2" s="9" t="s">
        <v>243</v>
      </c>
      <c r="H2" s="9">
        <v>1</v>
      </c>
    </row>
    <row r="3" spans="1:11" x14ac:dyDescent="0.25">
      <c r="A3" t="str">
        <v>SW6_3m_9m</v>
      </c>
      <c r="B3" t="str">
        <f>+'6.FRA_Swap6M'!A2</f>
        <v>SW6_3m_9m#0000</v>
      </c>
      <c r="C3">
        <f>+C2</f>
        <v>1</v>
      </c>
      <c r="K3" t="s">
        <v>217</v>
      </c>
    </row>
    <row r="4" spans="1:11" x14ac:dyDescent="0.25">
      <c r="A4" t="str">
        <v>SW6_6m_1y</v>
      </c>
      <c r="B4" t="str">
        <f>+'6.FRA_Swap6M'!A3</f>
        <v>SW6_6m_1y#0000</v>
      </c>
      <c r="C4">
        <f t="shared" ref="C4:C38" si="0">+C3</f>
        <v>1</v>
      </c>
      <c r="K4" t="s">
        <v>218</v>
      </c>
    </row>
    <row r="5" spans="1:11" x14ac:dyDescent="0.25">
      <c r="A5" t="str">
        <v>SW6_1Y_18M</v>
      </c>
      <c r="B5" t="str">
        <f>+'6.FRA_Swap6M'!A4</f>
        <v>SW6_1Y_18M#0000</v>
      </c>
      <c r="C5">
        <f t="shared" si="0"/>
        <v>1</v>
      </c>
      <c r="K5" t="s">
        <v>219</v>
      </c>
    </row>
    <row r="6" spans="1:11" x14ac:dyDescent="0.25">
      <c r="A6" t="str">
        <v>SW6_18M_1Y</v>
      </c>
      <c r="B6" t="str">
        <f>+'6.FRA_Swap6M'!A5</f>
        <v>SW6_18M_1Y#0000</v>
      </c>
      <c r="C6">
        <f t="shared" si="0"/>
        <v>1</v>
      </c>
      <c r="K6" t="s">
        <v>220</v>
      </c>
    </row>
    <row r="7" spans="1:11" x14ac:dyDescent="0.25">
      <c r="A7" t="str">
        <v>SW6_3 Years</v>
      </c>
      <c r="B7" t="str">
        <f>+'7_Swap6M'!A2</f>
        <v>SW6_3 Years#0000</v>
      </c>
      <c r="C7">
        <f t="shared" si="0"/>
        <v>1</v>
      </c>
      <c r="K7" t="s">
        <v>221</v>
      </c>
    </row>
    <row r="8" spans="1:11" x14ac:dyDescent="0.25">
      <c r="A8" t="str">
        <v>SW6_4 Years</v>
      </c>
      <c r="B8" t="str">
        <f>+'7_Swap6M'!A3</f>
        <v>SW6_4 Years#0000</v>
      </c>
      <c r="C8">
        <f t="shared" si="0"/>
        <v>1</v>
      </c>
      <c r="K8" t="s">
        <v>222</v>
      </c>
    </row>
    <row r="9" spans="1:11" x14ac:dyDescent="0.25">
      <c r="A9" t="str">
        <v>SW6_5 Years</v>
      </c>
      <c r="B9" t="str">
        <f>+'7_Swap6M'!A4</f>
        <v>SW6_5 Years#0000</v>
      </c>
      <c r="C9">
        <f t="shared" si="0"/>
        <v>1</v>
      </c>
      <c r="K9" t="s">
        <v>223</v>
      </c>
    </row>
    <row r="10" spans="1:11" x14ac:dyDescent="0.25">
      <c r="A10" t="str">
        <v>SW6_6 Years</v>
      </c>
      <c r="B10" t="str">
        <f>+'7_Swap6M'!A5</f>
        <v>SW6_6 Years#0000</v>
      </c>
      <c r="C10">
        <f t="shared" si="0"/>
        <v>1</v>
      </c>
      <c r="K10" t="s">
        <v>224</v>
      </c>
    </row>
    <row r="11" spans="1:11" x14ac:dyDescent="0.25">
      <c r="A11" t="str">
        <v>SW6_7 Years</v>
      </c>
      <c r="B11" t="str">
        <f>+'7_Swap6M'!A6</f>
        <v>SW6_7 Years#0000</v>
      </c>
      <c r="C11">
        <f t="shared" si="0"/>
        <v>1</v>
      </c>
      <c r="K11" t="s">
        <v>225</v>
      </c>
    </row>
    <row r="12" spans="1:11" x14ac:dyDescent="0.25">
      <c r="A12" t="str">
        <v>SW6_8 Years</v>
      </c>
      <c r="B12" t="str">
        <f>+'7_Swap6M'!A7</f>
        <v>SW6_8 Years#0000</v>
      </c>
      <c r="C12">
        <f t="shared" si="0"/>
        <v>1</v>
      </c>
      <c r="K12" t="s">
        <v>226</v>
      </c>
    </row>
    <row r="13" spans="1:11" x14ac:dyDescent="0.25">
      <c r="A13" t="str">
        <v>SW6_9 Years</v>
      </c>
      <c r="B13" t="str">
        <f>+'7_Swap6M'!A8</f>
        <v>SW6_9 Years#0000</v>
      </c>
      <c r="C13">
        <f t="shared" si="0"/>
        <v>1</v>
      </c>
    </row>
    <row r="14" spans="1:11" x14ac:dyDescent="0.25">
      <c r="A14" t="str">
        <v>SW6_10 Years</v>
      </c>
      <c r="B14" t="str">
        <f>+'7_Swap6M'!A9</f>
        <v>SW6_10 Years#0000</v>
      </c>
      <c r="C14">
        <f t="shared" si="0"/>
        <v>1</v>
      </c>
      <c r="K14" t="s">
        <v>114</v>
      </c>
    </row>
    <row r="15" spans="1:11" x14ac:dyDescent="0.25">
      <c r="A15" t="str">
        <v>SW6_11 Years</v>
      </c>
      <c r="B15" t="str">
        <f>+'7_Swap6M'!A10</f>
        <v>SW6_11 Years#0000</v>
      </c>
      <c r="C15">
        <f t="shared" si="0"/>
        <v>1</v>
      </c>
    </row>
    <row r="16" spans="1:11" x14ac:dyDescent="0.25">
      <c r="A16" t="str">
        <v>SW6_12 Years</v>
      </c>
      <c r="B16" t="str">
        <f>+'7_Swap6M'!A11</f>
        <v>SW6_12 Years#0000</v>
      </c>
      <c r="C16">
        <f t="shared" si="0"/>
        <v>1</v>
      </c>
      <c r="K16" t="s">
        <v>227</v>
      </c>
    </row>
    <row r="17" spans="1:12" x14ac:dyDescent="0.25">
      <c r="A17" t="str">
        <v>SW6_13 Years</v>
      </c>
      <c r="B17" t="str">
        <f>+'7_Swap6M'!A12</f>
        <v>SW6_13 Years#0000</v>
      </c>
      <c r="C17">
        <f t="shared" si="0"/>
        <v>1</v>
      </c>
    </row>
    <row r="18" spans="1:12" x14ac:dyDescent="0.25">
      <c r="A18" t="str">
        <v>SW6_14 Years</v>
      </c>
      <c r="B18" t="str">
        <f>+'7_Swap6M'!A13</f>
        <v>SW6_14 Years#0000</v>
      </c>
      <c r="C18">
        <f t="shared" si="0"/>
        <v>1</v>
      </c>
      <c r="K18" t="s">
        <v>116</v>
      </c>
    </row>
    <row r="19" spans="1:12" x14ac:dyDescent="0.25">
      <c r="A19" t="str">
        <v>SW6_15 Years</v>
      </c>
      <c r="B19" t="str">
        <f>+'7_Swap6M'!A14</f>
        <v>SW6_15 Years#0000</v>
      </c>
      <c r="C19">
        <f t="shared" si="0"/>
        <v>1</v>
      </c>
    </row>
    <row r="20" spans="1:12" x14ac:dyDescent="0.25">
      <c r="A20" t="str">
        <v>SW6_16 Years</v>
      </c>
      <c r="B20" t="str">
        <f>+'7_Swap6M'!A15</f>
        <v>SW6_16 Years#0000</v>
      </c>
      <c r="C20">
        <f t="shared" si="0"/>
        <v>1</v>
      </c>
      <c r="K20" t="s">
        <v>228</v>
      </c>
    </row>
    <row r="21" spans="1:12" x14ac:dyDescent="0.25">
      <c r="A21" t="str">
        <v>SW6_17 Years</v>
      </c>
      <c r="B21" t="str">
        <f>+'7_Swap6M'!A16</f>
        <v>SW6_17 Years#0000</v>
      </c>
      <c r="C21">
        <f t="shared" si="0"/>
        <v>1</v>
      </c>
    </row>
    <row r="22" spans="1:12" x14ac:dyDescent="0.25">
      <c r="A22" t="str">
        <v>SW6_18 Years</v>
      </c>
      <c r="B22" t="str">
        <f>+'7_Swap6M'!A17</f>
        <v>SW6_18 Years#0000</v>
      </c>
      <c r="C22">
        <f t="shared" si="0"/>
        <v>1</v>
      </c>
      <c r="K22" t="s">
        <v>118</v>
      </c>
    </row>
    <row r="23" spans="1:12" ht="45" x14ac:dyDescent="0.25">
      <c r="A23" t="str">
        <v>SW6_19 Years</v>
      </c>
      <c r="B23" t="str">
        <f>+'7_Swap6M'!A18</f>
        <v>SW6_19 Years#0000</v>
      </c>
      <c r="C23">
        <f t="shared" si="0"/>
        <v>1</v>
      </c>
      <c r="K23" s="14" t="s">
        <v>229</v>
      </c>
      <c r="L23" s="14" t="s">
        <v>230</v>
      </c>
    </row>
    <row r="24" spans="1:12" ht="120" x14ac:dyDescent="0.25">
      <c r="A24" t="str">
        <v>SW6_20 Years</v>
      </c>
      <c r="B24" t="str">
        <f>+'7_Swap6M'!A19</f>
        <v>SW6_20 Years#0000</v>
      </c>
      <c r="C24">
        <f t="shared" si="0"/>
        <v>1</v>
      </c>
      <c r="K24" s="14" t="s">
        <v>231</v>
      </c>
      <c r="L24" s="14" t="s">
        <v>232</v>
      </c>
    </row>
    <row r="25" spans="1:12" ht="195" x14ac:dyDescent="0.25">
      <c r="A25" t="str">
        <v>SW6_21 Years</v>
      </c>
      <c r="B25" t="str">
        <f>+'7_Swap6M'!A20</f>
        <v>SW6_21 Years#0000</v>
      </c>
      <c r="C25">
        <f t="shared" si="0"/>
        <v>1</v>
      </c>
      <c r="K25" s="14" t="s">
        <v>233</v>
      </c>
      <c r="L25" s="14" t="s">
        <v>234</v>
      </c>
    </row>
    <row r="26" spans="1:12" ht="240" x14ac:dyDescent="0.25">
      <c r="A26" t="str">
        <v>SW6_22 Years</v>
      </c>
      <c r="B26" t="str">
        <f>+'7_Swap6M'!A21</f>
        <v>SW6_22 Years#0000</v>
      </c>
      <c r="C26">
        <f t="shared" si="0"/>
        <v>1</v>
      </c>
      <c r="K26" s="14" t="s">
        <v>235</v>
      </c>
      <c r="L26" s="14" t="s">
        <v>236</v>
      </c>
    </row>
    <row r="27" spans="1:12" ht="345" x14ac:dyDescent="0.25">
      <c r="A27" t="str">
        <v>SW6_23 Years</v>
      </c>
      <c r="B27" t="str">
        <f>+'7_Swap6M'!A22</f>
        <v>SW6_23 Years#0000</v>
      </c>
      <c r="C27">
        <f t="shared" si="0"/>
        <v>1</v>
      </c>
      <c r="K27" s="14" t="s">
        <v>237</v>
      </c>
      <c r="L27" s="14" t="s">
        <v>238</v>
      </c>
    </row>
    <row r="28" spans="1:12" ht="105" x14ac:dyDescent="0.25">
      <c r="A28" t="str">
        <v>SW6_24 Years</v>
      </c>
      <c r="B28" t="str">
        <f>+'7_Swap6M'!A23</f>
        <v>SW6_24 Years#0000</v>
      </c>
      <c r="C28">
        <f t="shared" si="0"/>
        <v>1</v>
      </c>
      <c r="K28" s="14" t="s">
        <v>239</v>
      </c>
      <c r="L28" s="14" t="s">
        <v>240</v>
      </c>
    </row>
    <row r="29" spans="1:12" ht="195" x14ac:dyDescent="0.25">
      <c r="A29" t="str">
        <v>SW6_25 Years</v>
      </c>
      <c r="B29" t="str">
        <f>+'7_Swap6M'!A24</f>
        <v>SW6_25 Years#0000</v>
      </c>
      <c r="C29">
        <f t="shared" si="0"/>
        <v>1</v>
      </c>
      <c r="K29" s="14" t="s">
        <v>241</v>
      </c>
      <c r="L29" s="14" t="s">
        <v>242</v>
      </c>
    </row>
    <row r="30" spans="1:12" ht="60" x14ac:dyDescent="0.25">
      <c r="A30" t="str">
        <v>SW6_26 Years</v>
      </c>
      <c r="B30" t="str">
        <f>+'7_Swap6M'!A25</f>
        <v>SW6_26 Years#0000</v>
      </c>
      <c r="C30">
        <f t="shared" si="0"/>
        <v>1</v>
      </c>
      <c r="K30" s="14" t="s">
        <v>125</v>
      </c>
      <c r="L30" s="14" t="s">
        <v>126</v>
      </c>
    </row>
    <row r="31" spans="1:12" x14ac:dyDescent="0.25">
      <c r="A31" t="str">
        <v>SW6_27 Years</v>
      </c>
      <c r="B31" t="str">
        <f>+'7_Swap6M'!A26</f>
        <v>SW6_27 Years#0000</v>
      </c>
      <c r="C31">
        <f t="shared" si="0"/>
        <v>1</v>
      </c>
    </row>
    <row r="32" spans="1:12" x14ac:dyDescent="0.25">
      <c r="A32" t="str">
        <v>SW6_28 Years</v>
      </c>
      <c r="B32" t="str">
        <f>+'7_Swap6M'!A27</f>
        <v>SW6_28 Years#0000</v>
      </c>
      <c r="C32">
        <f t="shared" si="0"/>
        <v>1</v>
      </c>
    </row>
    <row r="33" spans="1:3" x14ac:dyDescent="0.25">
      <c r="A33" t="str">
        <v>SW6_29 Years</v>
      </c>
      <c r="B33" t="str">
        <f>+'7_Swap6M'!A28</f>
        <v>SW6_29 Years#0000</v>
      </c>
      <c r="C33">
        <f t="shared" si="0"/>
        <v>1</v>
      </c>
    </row>
    <row r="34" spans="1:3" x14ac:dyDescent="0.25">
      <c r="A34" t="str">
        <v>SW6_30 Years</v>
      </c>
      <c r="B34" t="str">
        <f>+'7_Swap6M'!A29</f>
        <v>SW6_30 Years#0000</v>
      </c>
      <c r="C34">
        <f t="shared" si="0"/>
        <v>1</v>
      </c>
    </row>
    <row r="35" spans="1:3" x14ac:dyDescent="0.25">
      <c r="A35" t="str">
        <v>SW6_35 Years</v>
      </c>
      <c r="B35" t="str">
        <f>+'7_Swap6M'!A30</f>
        <v>SW6_35 Years#0000</v>
      </c>
      <c r="C35">
        <f t="shared" si="0"/>
        <v>1</v>
      </c>
    </row>
    <row r="36" spans="1:3" x14ac:dyDescent="0.25">
      <c r="A36" t="str">
        <v>SW6_40 Years</v>
      </c>
      <c r="B36" t="str">
        <f>+'7_Swap6M'!A31</f>
        <v>SW6_40 Years#0000</v>
      </c>
      <c r="C36">
        <f t="shared" si="0"/>
        <v>1</v>
      </c>
    </row>
    <row r="37" spans="1:3" x14ac:dyDescent="0.25">
      <c r="A37" t="str">
        <v>SW6_50 Years</v>
      </c>
      <c r="B37" t="str">
        <f>+'7_Swap6M'!A32</f>
        <v>SW6_50 Years#0000</v>
      </c>
      <c r="C37">
        <f t="shared" si="0"/>
        <v>1</v>
      </c>
    </row>
    <row r="38" spans="1:3" x14ac:dyDescent="0.25">
      <c r="A38" t="str">
        <v>SW6_60 Years</v>
      </c>
      <c r="B38" t="str">
        <f>+'7_Swap6M'!A33</f>
        <v>SW6_60 Years#0000</v>
      </c>
      <c r="C38">
        <f t="shared" si="0"/>
        <v>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opLeftCell="C1" workbookViewId="0">
      <selection activeCell="N3" sqref="N3"/>
    </sheetView>
  </sheetViews>
  <sheetFormatPr defaultRowHeight="15" x14ac:dyDescent="0.25"/>
  <cols>
    <col min="1" max="1" width="60" bestFit="1" customWidth="1"/>
    <col min="2" max="2" width="44.42578125" bestFit="1" customWidth="1"/>
    <col min="3" max="3" width="53.85546875" bestFit="1" customWidth="1"/>
    <col min="4" max="4" width="22.42578125" customWidth="1"/>
    <col min="5" max="5" width="9.85546875" bestFit="1" customWidth="1"/>
    <col min="6" max="6" width="6.5703125" bestFit="1" customWidth="1"/>
    <col min="8" max="8" width="15.28515625" bestFit="1" customWidth="1"/>
    <col min="14" max="14" width="13.7109375" bestFit="1" customWidth="1"/>
  </cols>
  <sheetData>
    <row r="1" spans="1:17" x14ac:dyDescent="0.25">
      <c r="A1" s="13" t="s">
        <v>245</v>
      </c>
      <c r="C1" t="s">
        <v>274</v>
      </c>
      <c r="D1" s="11" t="s">
        <v>273</v>
      </c>
      <c r="E1" s="11" t="s">
        <v>119</v>
      </c>
      <c r="F1" s="11" t="s">
        <v>254</v>
      </c>
      <c r="G1" s="11" t="s">
        <v>148</v>
      </c>
      <c r="H1" s="11" t="s">
        <v>229</v>
      </c>
      <c r="I1" s="11" t="s">
        <v>154</v>
      </c>
      <c r="J1" s="11" t="s">
        <v>259</v>
      </c>
      <c r="K1" s="11" t="s">
        <v>261</v>
      </c>
      <c r="L1" s="11" t="s">
        <v>263</v>
      </c>
      <c r="M1" s="11" t="s">
        <v>265</v>
      </c>
      <c r="N1" s="11" t="s">
        <v>267</v>
      </c>
      <c r="O1" s="11" t="s">
        <v>123</v>
      </c>
      <c r="P1" s="11" t="s">
        <v>125</v>
      </c>
      <c r="Q1" s="11" t="s">
        <v>127</v>
      </c>
    </row>
    <row r="2" spans="1:17" ht="18.75" x14ac:dyDescent="0.3">
      <c r="C2" s="17" t="str">
        <f>_xll.ohRangeRetrieveError(D2)</f>
        <v/>
      </c>
      <c r="D2" s="54" t="str">
        <f t="array" ref="D2">_xll.qlPiecewiseYieldCurve(E2,F2,G2,H2:H38,I2,J2,K2,L2,M2,N2)</f>
        <v>SW6_curve#0000</v>
      </c>
      <c r="E2" s="11" t="s">
        <v>479</v>
      </c>
      <c r="F2" s="11">
        <v>2</v>
      </c>
      <c r="G2" s="11" t="s">
        <v>157</v>
      </c>
      <c r="H2" s="11" t="str">
        <f>+'8.RatesHelperSelection_SW6'!A2</f>
        <v>SW6_6M</v>
      </c>
      <c r="I2" s="11" t="s">
        <v>159</v>
      </c>
      <c r="J2" s="11"/>
      <c r="K2" s="11"/>
      <c r="L2" s="11"/>
      <c r="M2" s="11" t="s">
        <v>271</v>
      </c>
      <c r="N2" s="11" t="s">
        <v>272</v>
      </c>
      <c r="O2" s="11"/>
      <c r="P2" s="11"/>
      <c r="Q2" s="11"/>
    </row>
    <row r="3" spans="1:17" x14ac:dyDescent="0.25">
      <c r="A3" t="s">
        <v>107</v>
      </c>
      <c r="D3" s="11"/>
      <c r="E3" s="11"/>
      <c r="F3" s="11"/>
      <c r="G3" s="11"/>
      <c r="H3" s="11" t="str">
        <f>+'8.RatesHelperSelection_SW6'!A3</f>
        <v>SW6_3m_9m</v>
      </c>
      <c r="I3" s="11"/>
      <c r="J3" s="11"/>
      <c r="K3" s="11"/>
      <c r="L3" s="11"/>
      <c r="M3" s="11"/>
      <c r="N3" s="11"/>
      <c r="O3" s="11"/>
      <c r="P3" s="11"/>
      <c r="Q3" s="11"/>
    </row>
    <row r="4" spans="1:17" x14ac:dyDescent="0.25">
      <c r="A4" t="s">
        <v>246</v>
      </c>
      <c r="D4" s="11"/>
      <c r="E4" s="11"/>
      <c r="F4" s="11"/>
      <c r="G4" s="11"/>
      <c r="H4" s="11" t="str">
        <f>+'8.RatesHelperSelection_SW6'!A4</f>
        <v>SW6_6m_1y</v>
      </c>
      <c r="I4" s="11"/>
      <c r="J4" s="11"/>
      <c r="K4" s="11"/>
      <c r="L4" s="11"/>
      <c r="M4" s="11"/>
      <c r="N4" s="11"/>
      <c r="O4" s="11"/>
      <c r="P4" s="11"/>
      <c r="Q4" s="11"/>
    </row>
    <row r="5" spans="1:17" x14ac:dyDescent="0.25">
      <c r="A5" t="s">
        <v>109</v>
      </c>
      <c r="D5" s="11"/>
      <c r="E5" s="11"/>
      <c r="F5" s="11"/>
      <c r="G5" s="11"/>
      <c r="H5" s="11" t="str">
        <f>+'8.RatesHelperSelection_SW6'!A5</f>
        <v>SW6_1Y_18M</v>
      </c>
      <c r="I5" s="11"/>
      <c r="J5" s="11"/>
      <c r="K5" s="11"/>
      <c r="L5" s="11"/>
      <c r="M5" s="11"/>
      <c r="N5" s="11"/>
      <c r="O5" s="11"/>
      <c r="P5" s="11"/>
      <c r="Q5" s="11"/>
    </row>
    <row r="6" spans="1:17" x14ac:dyDescent="0.25">
      <c r="A6" t="s">
        <v>247</v>
      </c>
      <c r="D6" s="11"/>
      <c r="E6" s="11"/>
      <c r="F6" s="11"/>
      <c r="G6" s="11"/>
      <c r="H6" s="11" t="str">
        <f>+'8.RatesHelperSelection_SW6'!A6</f>
        <v>SW6_18M_1Y</v>
      </c>
      <c r="I6" s="11"/>
      <c r="J6" s="11"/>
      <c r="K6" s="11"/>
      <c r="L6" s="11"/>
      <c r="M6" s="11"/>
      <c r="N6" s="11"/>
      <c r="O6" s="11"/>
      <c r="P6" s="11"/>
      <c r="Q6" s="11"/>
    </row>
    <row r="7" spans="1:17" x14ac:dyDescent="0.25">
      <c r="A7" t="s">
        <v>137</v>
      </c>
      <c r="D7" s="11"/>
      <c r="E7" s="11"/>
      <c r="F7" s="11"/>
      <c r="G7" s="11"/>
      <c r="H7" s="11" t="str">
        <f>+'8.RatesHelperSelection_SW6'!A7</f>
        <v>SW6_3 Years</v>
      </c>
      <c r="I7" s="11"/>
      <c r="J7" s="11"/>
      <c r="K7" s="11"/>
      <c r="L7" s="11"/>
      <c r="M7" s="11"/>
      <c r="N7" s="11"/>
      <c r="O7" s="11"/>
      <c r="P7" s="11"/>
      <c r="Q7" s="11"/>
    </row>
    <row r="8" spans="1:17" x14ac:dyDescent="0.25">
      <c r="A8" t="s">
        <v>219</v>
      </c>
      <c r="D8" s="11"/>
      <c r="E8" s="11"/>
      <c r="F8" s="11"/>
      <c r="G8" s="11"/>
      <c r="H8" s="11" t="str">
        <f>+'8.RatesHelperSelection_SW6'!A8</f>
        <v>SW6_4 Years</v>
      </c>
      <c r="I8" s="11"/>
      <c r="J8" s="11"/>
      <c r="K8" s="11"/>
      <c r="L8" s="11"/>
      <c r="M8" s="11"/>
      <c r="N8" s="11"/>
      <c r="O8" s="11"/>
      <c r="P8" s="11"/>
      <c r="Q8" s="11"/>
    </row>
    <row r="9" spans="1:17" x14ac:dyDescent="0.25">
      <c r="A9" t="s">
        <v>140</v>
      </c>
      <c r="D9" s="11"/>
      <c r="E9" s="11"/>
      <c r="F9" s="11"/>
      <c r="G9" s="11"/>
      <c r="H9" s="11" t="str">
        <f>+'8.RatesHelperSelection_SW6'!A9</f>
        <v>SW6_5 Years</v>
      </c>
      <c r="I9" s="11"/>
      <c r="J9" s="11"/>
      <c r="K9" s="11"/>
      <c r="L9" s="11"/>
      <c r="M9" s="11"/>
      <c r="N9" s="11"/>
      <c r="O9" s="11"/>
      <c r="P9" s="11"/>
      <c r="Q9" s="11"/>
    </row>
    <row r="10" spans="1:17" x14ac:dyDescent="0.25">
      <c r="A10" t="s">
        <v>248</v>
      </c>
      <c r="D10" s="11"/>
      <c r="E10" s="11"/>
      <c r="F10" s="11"/>
      <c r="G10" s="11"/>
      <c r="H10" s="11" t="str">
        <f>+'8.RatesHelperSelection_SW6'!A10</f>
        <v>SW6_6 Years</v>
      </c>
      <c r="I10" s="11"/>
      <c r="J10" s="11"/>
      <c r="K10" s="11"/>
      <c r="L10" s="11"/>
      <c r="M10" s="11"/>
      <c r="N10" s="11"/>
      <c r="O10" s="11"/>
      <c r="P10" s="11"/>
      <c r="Q10" s="11"/>
    </row>
    <row r="11" spans="1:17" x14ac:dyDescent="0.25">
      <c r="A11" t="s">
        <v>249</v>
      </c>
      <c r="D11" s="11"/>
      <c r="E11" s="11"/>
      <c r="F11" s="11"/>
      <c r="G11" s="11"/>
      <c r="H11" s="11" t="str">
        <f>+'8.RatesHelperSelection_SW6'!A11</f>
        <v>SW6_7 Years</v>
      </c>
      <c r="I11" s="11"/>
      <c r="J11" s="11"/>
      <c r="K11" s="11"/>
      <c r="L11" s="11"/>
      <c r="M11" s="11"/>
      <c r="N11" s="11"/>
      <c r="O11" s="11"/>
      <c r="P11" s="11"/>
      <c r="Q11" s="11"/>
    </row>
    <row r="12" spans="1:17" x14ac:dyDescent="0.25">
      <c r="A12" t="s">
        <v>250</v>
      </c>
      <c r="D12" s="11"/>
      <c r="E12" s="11"/>
      <c r="F12" s="11"/>
      <c r="G12" s="11"/>
      <c r="H12" s="11" t="str">
        <f>+'8.RatesHelperSelection_SW6'!A12</f>
        <v>SW6_8 Years</v>
      </c>
      <c r="I12" s="11"/>
      <c r="J12" s="11"/>
      <c r="K12" s="11"/>
      <c r="L12" s="11"/>
      <c r="M12" s="11"/>
      <c r="N12" s="11"/>
      <c r="O12" s="11"/>
      <c r="P12" s="11"/>
      <c r="Q12" s="11"/>
    </row>
    <row r="13" spans="1:17" x14ac:dyDescent="0.25">
      <c r="A13" t="s">
        <v>251</v>
      </c>
      <c r="D13" s="11"/>
      <c r="E13" s="11"/>
      <c r="F13" s="11"/>
      <c r="G13" s="11"/>
      <c r="H13" s="11" t="str">
        <f>+'8.RatesHelperSelection_SW6'!A13</f>
        <v>SW6_9 Years</v>
      </c>
      <c r="I13" s="11"/>
      <c r="J13" s="11"/>
      <c r="K13" s="11"/>
      <c r="L13" s="11"/>
      <c r="M13" s="11"/>
      <c r="N13" s="11"/>
      <c r="O13" s="11"/>
      <c r="P13" s="11"/>
      <c r="Q13" s="11"/>
    </row>
    <row r="14" spans="1:17" x14ac:dyDescent="0.25">
      <c r="A14" t="s">
        <v>252</v>
      </c>
      <c r="D14" s="11"/>
      <c r="E14" s="11"/>
      <c r="F14" s="11"/>
      <c r="G14" s="11"/>
      <c r="H14" s="11" t="str">
        <f>+'8.RatesHelperSelection_SW6'!A14</f>
        <v>SW6_10 Years</v>
      </c>
      <c r="I14" s="11"/>
      <c r="J14" s="11"/>
      <c r="K14" s="11"/>
      <c r="L14" s="11"/>
      <c r="M14" s="11"/>
      <c r="N14" s="11"/>
      <c r="O14" s="11"/>
      <c r="P14" s="11"/>
      <c r="Q14" s="11"/>
    </row>
    <row r="15" spans="1:17" x14ac:dyDescent="0.25">
      <c r="A15" t="s">
        <v>111</v>
      </c>
      <c r="D15" s="11"/>
      <c r="E15" s="11"/>
      <c r="F15" s="11"/>
      <c r="G15" s="11"/>
      <c r="H15" s="11" t="str">
        <f>+'8.RatesHelperSelection_SW6'!A15</f>
        <v>SW6_11 Years</v>
      </c>
      <c r="I15" s="11"/>
      <c r="J15" s="11"/>
      <c r="K15" s="11"/>
      <c r="L15" s="11"/>
      <c r="M15" s="11"/>
      <c r="N15" s="11"/>
      <c r="O15" s="11"/>
      <c r="P15" s="11"/>
      <c r="Q15" s="11"/>
    </row>
    <row r="16" spans="1:17" x14ac:dyDescent="0.25">
      <c r="A16" t="s">
        <v>112</v>
      </c>
      <c r="D16" s="11"/>
      <c r="E16" s="11"/>
      <c r="F16" s="11"/>
      <c r="G16" s="11"/>
      <c r="H16" s="11" t="str">
        <f>+'8.RatesHelperSelection_SW6'!A16</f>
        <v>SW6_12 Years</v>
      </c>
      <c r="I16" s="11"/>
      <c r="J16" s="11"/>
      <c r="K16" s="11"/>
      <c r="L16" s="11"/>
      <c r="M16" s="11"/>
      <c r="N16" s="11"/>
      <c r="O16" s="11"/>
      <c r="P16" s="11"/>
      <c r="Q16" s="11"/>
    </row>
    <row r="17" spans="1:17" x14ac:dyDescent="0.25">
      <c r="A17" t="s">
        <v>113</v>
      </c>
      <c r="D17" s="11"/>
      <c r="E17" s="11"/>
      <c r="F17" s="11"/>
      <c r="G17" s="11"/>
      <c r="H17" s="11" t="str">
        <f>+'8.RatesHelperSelection_SW6'!A17</f>
        <v>SW6_13 Years</v>
      </c>
      <c r="I17" s="11"/>
      <c r="J17" s="11"/>
      <c r="K17" s="11"/>
      <c r="L17" s="11"/>
      <c r="M17" s="11"/>
      <c r="N17" s="11"/>
      <c r="O17" s="11"/>
      <c r="P17" s="11"/>
      <c r="Q17" s="11"/>
    </row>
    <row r="18" spans="1:17" x14ac:dyDescent="0.25">
      <c r="D18" s="11"/>
      <c r="E18" s="11"/>
      <c r="F18" s="11"/>
      <c r="G18" s="11"/>
      <c r="H18" s="11" t="str">
        <f>+'8.RatesHelperSelection_SW6'!A18</f>
        <v>SW6_14 Years</v>
      </c>
      <c r="I18" s="11"/>
      <c r="J18" s="11"/>
      <c r="K18" s="11"/>
      <c r="L18" s="11"/>
      <c r="M18" s="11"/>
      <c r="N18" s="11"/>
      <c r="O18" s="11"/>
      <c r="P18" s="11"/>
      <c r="Q18" s="11"/>
    </row>
    <row r="19" spans="1:17" x14ac:dyDescent="0.25">
      <c r="A19" t="s">
        <v>114</v>
      </c>
      <c r="D19" s="11"/>
      <c r="E19" s="11"/>
      <c r="F19" s="11"/>
      <c r="G19" s="11"/>
      <c r="H19" s="11" t="str">
        <f>+'8.RatesHelperSelection_SW6'!A19</f>
        <v>SW6_15 Years</v>
      </c>
      <c r="I19" s="11"/>
      <c r="J19" s="11"/>
      <c r="K19" s="11"/>
      <c r="L19" s="11"/>
      <c r="M19" s="11"/>
      <c r="N19" s="11"/>
      <c r="O19" s="11"/>
      <c r="P19" s="11"/>
      <c r="Q19" s="11"/>
    </row>
    <row r="20" spans="1:17" x14ac:dyDescent="0.25">
      <c r="D20" s="11"/>
      <c r="E20" s="11"/>
      <c r="F20" s="11"/>
      <c r="G20" s="11"/>
      <c r="H20" s="11" t="str">
        <f>+'8.RatesHelperSelection_SW6'!A20</f>
        <v>SW6_16 Years</v>
      </c>
      <c r="I20" s="11"/>
      <c r="J20" s="11"/>
      <c r="K20" s="11"/>
      <c r="L20" s="11"/>
      <c r="M20" s="11"/>
      <c r="N20" s="11"/>
      <c r="O20" s="11"/>
      <c r="P20" s="11"/>
      <c r="Q20" s="11"/>
    </row>
    <row r="21" spans="1:17" x14ac:dyDescent="0.25">
      <c r="A21" t="s">
        <v>253</v>
      </c>
      <c r="D21" s="11"/>
      <c r="E21" s="11"/>
      <c r="F21" s="11"/>
      <c r="G21" s="11"/>
      <c r="H21" s="11" t="str">
        <f>+'8.RatesHelperSelection_SW6'!A21</f>
        <v>SW6_17 Years</v>
      </c>
      <c r="I21" s="11"/>
      <c r="J21" s="11"/>
      <c r="K21" s="11"/>
      <c r="L21" s="11"/>
      <c r="M21" s="11"/>
      <c r="N21" s="11"/>
      <c r="O21" s="11"/>
      <c r="P21" s="11"/>
      <c r="Q21" s="11"/>
    </row>
    <row r="22" spans="1:17" x14ac:dyDescent="0.25">
      <c r="D22" s="11"/>
      <c r="E22" s="11"/>
      <c r="F22" s="11"/>
      <c r="G22" s="11"/>
      <c r="H22" s="11" t="str">
        <f>+'8.RatesHelperSelection_SW6'!A22</f>
        <v>SW6_18 Years</v>
      </c>
      <c r="I22" s="11"/>
      <c r="J22" s="11"/>
      <c r="K22" s="11"/>
      <c r="L22" s="11"/>
      <c r="M22" s="11"/>
      <c r="N22" s="11"/>
      <c r="O22" s="11"/>
      <c r="P22" s="11"/>
      <c r="Q22" s="11"/>
    </row>
    <row r="23" spans="1:17" x14ac:dyDescent="0.25">
      <c r="A23" t="s">
        <v>116</v>
      </c>
      <c r="D23" s="11"/>
      <c r="E23" s="11"/>
      <c r="F23" s="11"/>
      <c r="G23" s="11"/>
      <c r="H23" s="11" t="str">
        <f>+'8.RatesHelperSelection_SW6'!A23</f>
        <v>SW6_19 Years</v>
      </c>
      <c r="I23" s="11"/>
      <c r="J23" s="11"/>
      <c r="K23" s="11"/>
      <c r="L23" s="11"/>
      <c r="M23" s="11"/>
      <c r="N23" s="11"/>
      <c r="O23" s="11"/>
      <c r="P23" s="11"/>
      <c r="Q23" s="11"/>
    </row>
    <row r="24" spans="1:17" x14ac:dyDescent="0.25">
      <c r="D24" s="11"/>
      <c r="E24" s="11"/>
      <c r="F24" s="11"/>
      <c r="G24" s="11"/>
      <c r="H24" s="11" t="str">
        <f>+'8.RatesHelperSelection_SW6'!A24</f>
        <v>SW6_20 Years</v>
      </c>
      <c r="I24" s="11"/>
      <c r="J24" s="11"/>
      <c r="K24" s="11"/>
      <c r="L24" s="11"/>
      <c r="M24" s="11"/>
      <c r="N24" s="11"/>
      <c r="O24" s="11"/>
      <c r="P24" s="11"/>
      <c r="Q24" s="11"/>
    </row>
    <row r="25" spans="1:17" x14ac:dyDescent="0.25">
      <c r="A25" t="s">
        <v>117</v>
      </c>
      <c r="D25" s="11"/>
      <c r="E25" s="11"/>
      <c r="F25" s="11"/>
      <c r="G25" s="11"/>
      <c r="H25" s="11" t="str">
        <f>+'8.RatesHelperSelection_SW6'!A25</f>
        <v>SW6_21 Years</v>
      </c>
      <c r="I25" s="11"/>
      <c r="J25" s="11"/>
      <c r="K25" s="11"/>
      <c r="L25" s="11"/>
      <c r="M25" s="11"/>
      <c r="N25" s="11"/>
      <c r="O25" s="11"/>
      <c r="P25" s="11"/>
      <c r="Q25" s="11"/>
    </row>
    <row r="26" spans="1:17" x14ac:dyDescent="0.25">
      <c r="D26" s="11"/>
      <c r="E26" s="11"/>
      <c r="F26" s="11"/>
      <c r="G26" s="11"/>
      <c r="H26" s="11" t="str">
        <f>+'8.RatesHelperSelection_SW6'!A26</f>
        <v>SW6_22 Years</v>
      </c>
      <c r="I26" s="11"/>
      <c r="J26" s="11"/>
      <c r="K26" s="11"/>
      <c r="L26" s="11"/>
      <c r="M26" s="11"/>
      <c r="N26" s="11"/>
      <c r="O26" s="11"/>
      <c r="P26" s="11"/>
      <c r="Q26" s="11"/>
    </row>
    <row r="27" spans="1:17" x14ac:dyDescent="0.25">
      <c r="A27" t="s">
        <v>118</v>
      </c>
      <c r="D27" s="11"/>
      <c r="E27" s="11"/>
      <c r="F27" s="11"/>
      <c r="G27" s="11"/>
      <c r="H27" s="11" t="str">
        <f>+'8.RatesHelperSelection_SW6'!A27</f>
        <v>SW6_23 Years</v>
      </c>
      <c r="I27" s="11"/>
      <c r="J27" s="11"/>
      <c r="K27" s="11"/>
      <c r="L27" s="11"/>
      <c r="M27" s="11"/>
      <c r="N27" s="11"/>
      <c r="O27" s="11"/>
      <c r="P27" s="11"/>
      <c r="Q27" s="11"/>
    </row>
    <row r="28" spans="1:17" x14ac:dyDescent="0.25">
      <c r="A28" s="14" t="s">
        <v>119</v>
      </c>
      <c r="B28" s="14" t="s">
        <v>120</v>
      </c>
      <c r="D28" s="11"/>
      <c r="E28" s="11"/>
      <c r="F28" s="11"/>
      <c r="G28" s="11"/>
      <c r="H28" s="11" t="str">
        <f>+'8.RatesHelperSelection_SW6'!A28</f>
        <v>SW6_24 Years</v>
      </c>
      <c r="I28" s="11"/>
      <c r="J28" s="11"/>
      <c r="K28" s="11"/>
      <c r="L28" s="11"/>
      <c r="M28" s="11"/>
      <c r="N28" s="11"/>
      <c r="O28" s="11"/>
      <c r="P28" s="11"/>
      <c r="Q28" s="11"/>
    </row>
    <row r="29" spans="1:17" ht="45" x14ac:dyDescent="0.25">
      <c r="A29" s="14" t="s">
        <v>254</v>
      </c>
      <c r="B29" s="14" t="s">
        <v>255</v>
      </c>
      <c r="D29" s="11"/>
      <c r="E29" s="11"/>
      <c r="F29" s="11"/>
      <c r="G29" s="11"/>
      <c r="H29" s="11" t="str">
        <f>+'8.RatesHelperSelection_SW6'!A29</f>
        <v>SW6_25 Years</v>
      </c>
      <c r="I29" s="11"/>
      <c r="J29" s="11"/>
      <c r="K29" s="11"/>
      <c r="L29" s="11"/>
      <c r="M29" s="11"/>
      <c r="N29" s="11"/>
      <c r="O29" s="11"/>
      <c r="P29" s="11"/>
      <c r="Q29" s="11"/>
    </row>
    <row r="30" spans="1:17" ht="30" x14ac:dyDescent="0.25">
      <c r="A30" s="14" t="s">
        <v>148</v>
      </c>
      <c r="B30" s="14" t="s">
        <v>256</v>
      </c>
      <c r="D30" s="11"/>
      <c r="E30" s="11"/>
      <c r="F30" s="11"/>
      <c r="G30" s="11"/>
      <c r="H30" s="11" t="str">
        <f>+'8.RatesHelperSelection_SW6'!A30</f>
        <v>SW6_26 Years</v>
      </c>
      <c r="I30" s="11"/>
      <c r="J30" s="11"/>
      <c r="K30" s="11"/>
      <c r="L30" s="11"/>
      <c r="M30" s="11"/>
      <c r="N30" s="11"/>
      <c r="O30" s="11"/>
      <c r="P30" s="11"/>
      <c r="Q30" s="11"/>
    </row>
    <row r="31" spans="1:17" x14ac:dyDescent="0.25">
      <c r="A31" s="14" t="s">
        <v>229</v>
      </c>
      <c r="B31" s="14" t="s">
        <v>257</v>
      </c>
      <c r="D31" s="11"/>
      <c r="E31" s="11"/>
      <c r="F31" s="11"/>
      <c r="G31" s="11"/>
      <c r="H31" s="11" t="str">
        <f>+'8.RatesHelperSelection_SW6'!A31</f>
        <v>SW6_27 Years</v>
      </c>
      <c r="I31" s="11"/>
      <c r="J31" s="11"/>
      <c r="K31" s="11"/>
      <c r="L31" s="11"/>
      <c r="M31" s="11"/>
      <c r="N31" s="11"/>
      <c r="O31" s="11"/>
      <c r="P31" s="11"/>
      <c r="Q31" s="11"/>
    </row>
    <row r="32" spans="1:17" ht="30" x14ac:dyDescent="0.25">
      <c r="A32" s="14" t="s">
        <v>154</v>
      </c>
      <c r="B32" s="14" t="s">
        <v>258</v>
      </c>
      <c r="D32" s="11"/>
      <c r="E32" s="11"/>
      <c r="F32" s="11"/>
      <c r="G32" s="11"/>
      <c r="H32" s="11" t="str">
        <f>+'8.RatesHelperSelection_SW6'!A32</f>
        <v>SW6_28 Years</v>
      </c>
      <c r="I32" s="11"/>
      <c r="J32" s="11"/>
      <c r="K32" s="11"/>
      <c r="L32" s="11"/>
      <c r="M32" s="11"/>
      <c r="N32" s="11"/>
      <c r="O32" s="11"/>
      <c r="P32" s="11"/>
      <c r="Q32" s="11"/>
    </row>
    <row r="33" spans="1:17" x14ac:dyDescent="0.25">
      <c r="A33" s="14" t="s">
        <v>259</v>
      </c>
      <c r="B33" s="14" t="s">
        <v>260</v>
      </c>
      <c r="D33" s="11"/>
      <c r="E33" s="11"/>
      <c r="F33" s="11"/>
      <c r="G33" s="11"/>
      <c r="H33" s="11" t="str">
        <f>+'8.RatesHelperSelection_SW6'!A33</f>
        <v>SW6_29 Years</v>
      </c>
      <c r="I33" s="11"/>
      <c r="J33" s="11"/>
      <c r="K33" s="11"/>
      <c r="L33" s="11"/>
      <c r="M33" s="11"/>
      <c r="N33" s="11"/>
      <c r="O33" s="11"/>
      <c r="P33" s="11"/>
      <c r="Q33" s="11"/>
    </row>
    <row r="34" spans="1:17" x14ac:dyDescent="0.25">
      <c r="A34" s="14" t="s">
        <v>261</v>
      </c>
      <c r="B34" s="14" t="s">
        <v>262</v>
      </c>
      <c r="D34" s="11"/>
      <c r="E34" s="11"/>
      <c r="F34" s="11"/>
      <c r="G34" s="11"/>
      <c r="H34" s="11" t="str">
        <f>+'8.RatesHelperSelection_SW6'!A34</f>
        <v>SW6_30 Years</v>
      </c>
      <c r="I34" s="11"/>
      <c r="J34" s="11"/>
      <c r="K34" s="11"/>
      <c r="L34" s="11"/>
      <c r="M34" s="11"/>
      <c r="N34" s="11"/>
      <c r="O34" s="11"/>
      <c r="P34" s="11"/>
      <c r="Q34" s="11"/>
    </row>
    <row r="35" spans="1:17" x14ac:dyDescent="0.25">
      <c r="A35" s="14" t="s">
        <v>263</v>
      </c>
      <c r="B35" s="14" t="s">
        <v>264</v>
      </c>
      <c r="D35" s="11"/>
      <c r="E35" s="11"/>
      <c r="F35" s="11"/>
      <c r="G35" s="11"/>
      <c r="H35" s="11" t="str">
        <f>+'8.RatesHelperSelection_SW6'!A35</f>
        <v>SW6_35 Years</v>
      </c>
      <c r="I35" s="11"/>
      <c r="J35" s="11"/>
      <c r="K35" s="11"/>
      <c r="L35" s="11"/>
      <c r="M35" s="11"/>
      <c r="N35" s="11"/>
      <c r="O35" s="11"/>
      <c r="P35" s="11"/>
      <c r="Q35" s="11"/>
    </row>
    <row r="36" spans="1:17" ht="30" x14ac:dyDescent="0.25">
      <c r="A36" s="14" t="s">
        <v>265</v>
      </c>
      <c r="B36" s="14" t="s">
        <v>266</v>
      </c>
      <c r="D36" s="11"/>
      <c r="E36" s="11"/>
      <c r="F36" s="11"/>
      <c r="G36" s="11"/>
      <c r="H36" s="11" t="str">
        <f>+'8.RatesHelperSelection_SW6'!A36</f>
        <v>SW6_40 Years</v>
      </c>
      <c r="I36" s="11"/>
      <c r="J36" s="11"/>
      <c r="K36" s="11"/>
      <c r="L36" s="11"/>
      <c r="M36" s="11"/>
      <c r="N36" s="11"/>
      <c r="O36" s="11"/>
      <c r="P36" s="11"/>
      <c r="Q36" s="11"/>
    </row>
    <row r="37" spans="1:17" ht="45" x14ac:dyDescent="0.25">
      <c r="A37" s="14" t="s">
        <v>267</v>
      </c>
      <c r="B37" s="14" t="s">
        <v>268</v>
      </c>
      <c r="D37" s="11"/>
      <c r="E37" s="11"/>
      <c r="F37" s="11"/>
      <c r="G37" s="11"/>
      <c r="H37" s="11" t="str">
        <f>+'8.RatesHelperSelection_SW6'!A37</f>
        <v>SW6_50 Years</v>
      </c>
      <c r="I37" s="11"/>
      <c r="J37" s="11"/>
      <c r="K37" s="11"/>
      <c r="L37" s="11"/>
      <c r="M37" s="11"/>
      <c r="N37" s="11"/>
      <c r="O37" s="11"/>
      <c r="P37" s="11"/>
      <c r="Q37" s="11"/>
    </row>
    <row r="38" spans="1:17" x14ac:dyDescent="0.25">
      <c r="A38" s="14" t="s">
        <v>123</v>
      </c>
      <c r="B38" s="14" t="s">
        <v>124</v>
      </c>
      <c r="D38" s="11"/>
      <c r="E38" s="11"/>
      <c r="F38" s="11"/>
      <c r="G38" s="11"/>
      <c r="H38" s="11" t="str">
        <f>+'8.RatesHelperSelection_SW6'!A38</f>
        <v>SW6_60 Years</v>
      </c>
      <c r="I38" s="11"/>
      <c r="J38" s="11"/>
      <c r="K38" s="11"/>
      <c r="L38" s="11"/>
      <c r="M38" s="11"/>
      <c r="N38" s="11"/>
      <c r="O38" s="11"/>
      <c r="P38" s="11"/>
      <c r="Q38" s="11"/>
    </row>
    <row r="39" spans="1:17" x14ac:dyDescent="0.25">
      <c r="A39" s="14" t="s">
        <v>125</v>
      </c>
      <c r="B39" s="14" t="s">
        <v>126</v>
      </c>
      <c r="D39" s="11"/>
      <c r="E39" s="11"/>
      <c r="F39" s="11"/>
      <c r="G39" s="11"/>
      <c r="H39" s="11">
        <f>+'8.RatesHelperSelection_SW6'!A39</f>
        <v>0</v>
      </c>
      <c r="I39" s="11"/>
      <c r="J39" s="11"/>
      <c r="K39" s="11"/>
      <c r="L39" s="11"/>
      <c r="M39" s="11"/>
      <c r="N39" s="11"/>
      <c r="O39" s="11"/>
      <c r="P39" s="11"/>
      <c r="Q39" s="11"/>
    </row>
    <row r="40" spans="1:17" x14ac:dyDescent="0.25">
      <c r="A40" s="14" t="s">
        <v>127</v>
      </c>
      <c r="B40" s="14" t="s">
        <v>128</v>
      </c>
      <c r="D40" s="11"/>
      <c r="E40" s="11"/>
      <c r="F40" s="11"/>
      <c r="G40" s="11"/>
      <c r="H40" s="11">
        <f>+'8.RatesHelperSelection_SW6'!A40</f>
        <v>0</v>
      </c>
      <c r="I40" s="11"/>
      <c r="J40" s="11"/>
      <c r="K40" s="11"/>
      <c r="L40" s="11"/>
      <c r="M40" s="11"/>
      <c r="N40" s="11"/>
      <c r="O40" s="11"/>
      <c r="P40" s="11"/>
      <c r="Q40" s="11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workbookViewId="0">
      <selection activeCell="G19" sqref="G19"/>
    </sheetView>
  </sheetViews>
  <sheetFormatPr defaultRowHeight="15" x14ac:dyDescent="0.25"/>
  <cols>
    <col min="1" max="1" width="10.7109375" bestFit="1" customWidth="1"/>
    <col min="2" max="2" width="33.28515625" bestFit="1" customWidth="1"/>
    <col min="3" max="3" width="25" bestFit="1" customWidth="1"/>
    <col min="4" max="4" width="12" bestFit="1" customWidth="1"/>
    <col min="6" max="6" width="35.7109375" bestFit="1" customWidth="1"/>
    <col min="7" max="7" width="33.28515625" bestFit="1" customWidth="1"/>
    <col min="8" max="8" width="33.28515625" customWidth="1"/>
    <col min="9" max="9" width="35.7109375" bestFit="1" customWidth="1"/>
    <col min="11" max="11" width="35.7109375" bestFit="1" customWidth="1"/>
    <col min="12" max="12" width="33.28515625" bestFit="1" customWidth="1"/>
    <col min="13" max="13" width="25" bestFit="1" customWidth="1"/>
    <col min="14" max="14" width="12" bestFit="1" customWidth="1"/>
  </cols>
  <sheetData>
    <row r="1" spans="1:15" x14ac:dyDescent="0.25">
      <c r="A1" s="98" t="s">
        <v>131</v>
      </c>
      <c r="B1" s="98"/>
      <c r="C1" s="98"/>
      <c r="D1" s="98"/>
      <c r="E1" s="98"/>
      <c r="F1" s="99" t="s">
        <v>627</v>
      </c>
      <c r="G1" s="99"/>
      <c r="H1" s="99"/>
      <c r="I1" s="99"/>
      <c r="J1" s="99"/>
      <c r="K1" t="s">
        <v>628</v>
      </c>
    </row>
    <row r="2" spans="1:15" x14ac:dyDescent="0.25">
      <c r="A2" s="11" t="s">
        <v>631</v>
      </c>
      <c r="B2" s="11" t="s">
        <v>305</v>
      </c>
      <c r="C2" s="11" t="s">
        <v>306</v>
      </c>
      <c r="D2" s="11" t="s">
        <v>276</v>
      </c>
      <c r="E2" s="11" t="s">
        <v>307</v>
      </c>
      <c r="F2" s="11" t="s">
        <v>304</v>
      </c>
      <c r="G2" s="11" t="s">
        <v>305</v>
      </c>
      <c r="H2" s="11" t="str">
        <f>+C2</f>
        <v>Test su sistema alternativo</v>
      </c>
      <c r="I2" s="11" t="s">
        <v>276</v>
      </c>
      <c r="J2" s="57" t="s">
        <v>307</v>
      </c>
      <c r="K2" s="11" t="s">
        <v>304</v>
      </c>
      <c r="L2" s="11" t="s">
        <v>305</v>
      </c>
      <c r="M2" s="57" t="s">
        <v>306</v>
      </c>
      <c r="N2" s="11" t="s">
        <v>276</v>
      </c>
      <c r="O2" s="57" t="s">
        <v>307</v>
      </c>
    </row>
    <row r="3" spans="1:15" x14ac:dyDescent="0.25">
      <c r="A3" s="18">
        <f t="array" ref="A3:A40">_xll.qlPiecewiseYieldCurveDates('8.Piecewise_YieldCurve_EONIA'!D2)</f>
        <v>42794</v>
      </c>
      <c r="B3" s="19">
        <f t="array" ref="B3:B40">_xll.qlPiecewiseYieldCurveData('8.Piecewise_YieldCurve_EONIA'!D2)</f>
        <v>1</v>
      </c>
      <c r="C3" s="19">
        <f>VLOOKUP(A3,$D$3:$E$82,2,FALSE)</f>
        <v>1.0000111110000001</v>
      </c>
      <c r="D3" s="18">
        <f>+CurvaEonia!C2</f>
        <v>42793</v>
      </c>
      <c r="E3" s="11">
        <f>+CurvaEonia!E2</f>
        <v>1.0000333340000001</v>
      </c>
      <c r="F3" s="18">
        <f t="array" ref="F3:F40">_xll.qlPiecewiseYieldCurveDates('9.Piecewise_YieldCurve_SW6'!D2)</f>
        <v>42794</v>
      </c>
      <c r="G3" s="55">
        <f t="array" ref="G3:G40">_xll.qlPiecewiseYieldCurveData('9.Piecewise_YieldCurve_SW6'!D2)</f>
        <v>1</v>
      </c>
      <c r="H3" s="55" t="e">
        <f>VLOOKUP(F3,$I$3:$J$39,2,FALSE)</f>
        <v>#N/A</v>
      </c>
      <c r="I3" s="18">
        <v>42978</v>
      </c>
      <c r="J3">
        <v>1.001212956</v>
      </c>
      <c r="K3" s="18">
        <f t="array" ref="K3:K26">_xll.qlPiecewiseYieldCurveDates('6.Piecewise_YieldCurve_ITL'!B2)</f>
        <v>42794</v>
      </c>
      <c r="L3">
        <f t="array" ref="L3:L26">_xll.qlPiecewiseYieldCurveData('6.Piecewise_YieldCurve_ITL'!B2)</f>
        <v>1</v>
      </c>
      <c r="M3" t="e">
        <f>VLOOKUP(K3,$N$3:$O$30,2,FALSE)</f>
        <v>#N/A</v>
      </c>
      <c r="N3" s="18">
        <v>42853</v>
      </c>
      <c r="O3">
        <v>1.000797028</v>
      </c>
    </row>
    <row r="4" spans="1:15" x14ac:dyDescent="0.25">
      <c r="A4" s="18">
        <v>42796</v>
      </c>
      <c r="B4" s="19">
        <v>1.0000233338777904</v>
      </c>
      <c r="C4" s="19" t="e">
        <f t="shared" ref="C4:C67" si="0">VLOOKUP(A4,$D$3:$E$82,2,FALSE)</f>
        <v>#N/A</v>
      </c>
      <c r="D4" s="18">
        <f>+CurvaEonia!C3</f>
        <v>42794</v>
      </c>
      <c r="E4" s="11">
        <f>+CurvaEonia!E3</f>
        <v>1.0000111110000001</v>
      </c>
      <c r="F4" s="18">
        <v>42978</v>
      </c>
      <c r="G4" s="56">
        <v>1.0012179259837413</v>
      </c>
      <c r="H4" s="55">
        <f t="shared" ref="H4:H40" si="1">VLOOKUP(F4,$I$3:$J$39,2,FALSE)</f>
        <v>1.001212956</v>
      </c>
      <c r="I4" s="18">
        <v>43069</v>
      </c>
      <c r="J4">
        <v>1.001665346</v>
      </c>
      <c r="K4" s="18">
        <v>43021</v>
      </c>
      <c r="L4">
        <v>1.0019349999999998</v>
      </c>
      <c r="M4">
        <f t="shared" ref="M4:M26" si="2">VLOOKUP(K4,$N$3:$O$30,2,FALSE)</f>
        <v>1.00196204</v>
      </c>
      <c r="N4" s="18">
        <v>42947</v>
      </c>
      <c r="O4">
        <v>1.0014570460000001</v>
      </c>
    </row>
    <row r="5" spans="1:15" s="9" customFormat="1" x14ac:dyDescent="0.25">
      <c r="A5" s="12">
        <v>42801</v>
      </c>
      <c r="B5" s="29">
        <v>1.0000684491293736</v>
      </c>
      <c r="C5" s="29">
        <f t="shared" si="0"/>
        <v>1.000068449</v>
      </c>
      <c r="D5" s="12">
        <f>+CurvaEonia!C4</f>
        <v>42795</v>
      </c>
      <c r="E5" s="27">
        <f>+CurvaEonia!E4</f>
        <v>1.0000116670000001</v>
      </c>
      <c r="F5" s="12">
        <v>43069</v>
      </c>
      <c r="G5" s="26">
        <v>1.0016678745194332</v>
      </c>
      <c r="H5" s="55">
        <f t="shared" si="1"/>
        <v>1.001665346</v>
      </c>
      <c r="I5" s="12">
        <v>43159</v>
      </c>
      <c r="J5">
        <v>1.002109742</v>
      </c>
      <c r="K5" s="12">
        <v>43525</v>
      </c>
      <c r="L5" s="9">
        <v>0.9969740376789461</v>
      </c>
      <c r="M5">
        <f t="shared" si="2"/>
        <v>0.99717289399999998</v>
      </c>
      <c r="N5" s="12">
        <v>43021</v>
      </c>
      <c r="O5" s="9">
        <v>1.00196204</v>
      </c>
    </row>
    <row r="6" spans="1:15" x14ac:dyDescent="0.25">
      <c r="A6" s="18">
        <v>42808</v>
      </c>
      <c r="B6" s="19">
        <v>1.0001372966255564</v>
      </c>
      <c r="C6" s="19">
        <f t="shared" si="0"/>
        <v>1.000137297</v>
      </c>
      <c r="D6" s="18">
        <f>+CurvaEonia!C5</f>
        <v>42801</v>
      </c>
      <c r="E6" s="11">
        <f>+CurvaEonia!E5</f>
        <v>1.000068449</v>
      </c>
      <c r="F6" s="18">
        <v>43159</v>
      </c>
      <c r="G6" s="56">
        <v>1.0021147630236156</v>
      </c>
      <c r="H6" s="55">
        <f t="shared" si="1"/>
        <v>1.002109742</v>
      </c>
      <c r="I6" s="18">
        <v>43343</v>
      </c>
      <c r="J6" s="9">
        <v>1.0027716799999999</v>
      </c>
      <c r="K6" s="18">
        <v>44136</v>
      </c>
      <c r="L6">
        <v>0.97982826141507096</v>
      </c>
      <c r="M6">
        <f t="shared" si="2"/>
        <v>0.97991334799999996</v>
      </c>
      <c r="N6" s="18">
        <v>43112</v>
      </c>
      <c r="O6">
        <v>1.002737081</v>
      </c>
    </row>
    <row r="7" spans="1:15" x14ac:dyDescent="0.25">
      <c r="A7" s="18">
        <v>42815</v>
      </c>
      <c r="B7" s="19">
        <v>1.0002065426510642</v>
      </c>
      <c r="C7" s="19">
        <f t="shared" si="0"/>
        <v>1.000206543</v>
      </c>
      <c r="D7" s="18">
        <f>+CurvaEonia!C6</f>
        <v>42808</v>
      </c>
      <c r="E7" s="11">
        <f>+CurvaEonia!E6</f>
        <v>1.000137297</v>
      </c>
      <c r="F7" s="18">
        <v>43343</v>
      </c>
      <c r="G7" s="56">
        <v>1.0027810553248202</v>
      </c>
      <c r="H7" s="55">
        <f t="shared" si="1"/>
        <v>1.0027716799999999</v>
      </c>
      <c r="I7" s="18">
        <v>43524</v>
      </c>
      <c r="J7">
        <v>1.0031650889999999</v>
      </c>
      <c r="K7" s="18">
        <v>44545</v>
      </c>
      <c r="L7">
        <v>0.95105113970517363</v>
      </c>
      <c r="M7">
        <f t="shared" si="2"/>
        <v>0.95115499100000001</v>
      </c>
      <c r="N7" s="18">
        <v>43388</v>
      </c>
      <c r="O7">
        <v>0.99975838800000005</v>
      </c>
    </row>
    <row r="8" spans="1:15" x14ac:dyDescent="0.25">
      <c r="A8" s="18">
        <v>42825</v>
      </c>
      <c r="B8" s="19">
        <v>1.0003049262850292</v>
      </c>
      <c r="C8" s="19">
        <f t="shared" si="0"/>
        <v>1.0003049260000001</v>
      </c>
      <c r="D8" s="18">
        <f>+CurvaEonia!C7</f>
        <v>42815</v>
      </c>
      <c r="E8" s="11">
        <f>+CurvaEonia!E7</f>
        <v>1.000206543</v>
      </c>
      <c r="F8" s="18">
        <v>43524</v>
      </c>
      <c r="G8" s="56">
        <v>1.0031744669115941</v>
      </c>
      <c r="H8" s="55">
        <f t="shared" si="1"/>
        <v>1.0031650889999999</v>
      </c>
      <c r="I8" s="18">
        <v>43889</v>
      </c>
      <c r="J8">
        <v>1.0027750719999999</v>
      </c>
      <c r="K8" s="18">
        <v>44666</v>
      </c>
      <c r="L8">
        <v>0.94212504537996344</v>
      </c>
      <c r="M8">
        <f t="shared" si="2"/>
        <v>0.94237887300000001</v>
      </c>
      <c r="N8" s="18">
        <v>43525</v>
      </c>
      <c r="O8">
        <v>0.99717289399999998</v>
      </c>
    </row>
    <row r="9" spans="1:15" x14ac:dyDescent="0.25">
      <c r="A9" s="18">
        <v>42853</v>
      </c>
      <c r="B9" s="19">
        <v>1.0005788626658958</v>
      </c>
      <c r="C9" s="19">
        <f t="shared" si="0"/>
        <v>1.0005788630000001</v>
      </c>
      <c r="D9" s="18">
        <f>+CurvaEonia!C8</f>
        <v>42825</v>
      </c>
      <c r="E9" s="11">
        <f>+CurvaEonia!E8</f>
        <v>1.0003049260000001</v>
      </c>
      <c r="F9" s="18">
        <v>43889</v>
      </c>
      <c r="G9" s="56">
        <v>1.002775093292966</v>
      </c>
      <c r="H9" s="55">
        <f t="shared" si="1"/>
        <v>1.0027750719999999</v>
      </c>
      <c r="I9" s="18">
        <v>44253</v>
      </c>
      <c r="J9">
        <v>1.000300129</v>
      </c>
      <c r="K9" s="18">
        <v>44819</v>
      </c>
      <c r="L9">
        <v>0.93208235054751143</v>
      </c>
      <c r="M9">
        <f t="shared" si="2"/>
        <v>0.932209493</v>
      </c>
      <c r="N9" s="18">
        <v>43800</v>
      </c>
      <c r="O9">
        <v>0.98961680299999999</v>
      </c>
    </row>
    <row r="10" spans="1:15" x14ac:dyDescent="0.25">
      <c r="A10" s="18">
        <v>42886</v>
      </c>
      <c r="B10" s="19">
        <v>1.000902925650375</v>
      </c>
      <c r="C10" s="19">
        <f t="shared" si="0"/>
        <v>1.000902926</v>
      </c>
      <c r="D10" s="18">
        <f>+CurvaEonia!C9</f>
        <v>42853</v>
      </c>
      <c r="E10" s="11">
        <f>+CurvaEonia!E9</f>
        <v>1.0005788630000001</v>
      </c>
      <c r="F10" s="18">
        <v>44253</v>
      </c>
      <c r="G10" s="56">
        <v>1.0002999571266871</v>
      </c>
      <c r="H10" s="55">
        <f t="shared" si="1"/>
        <v>1.000300129</v>
      </c>
      <c r="I10" s="18">
        <v>44620</v>
      </c>
      <c r="J10">
        <v>0.99514358800000002</v>
      </c>
      <c r="K10" s="18">
        <v>45047</v>
      </c>
      <c r="L10">
        <v>0.90544197249702196</v>
      </c>
      <c r="M10">
        <f t="shared" si="2"/>
        <v>0.90559470200000003</v>
      </c>
      <c r="N10" s="18">
        <v>44136</v>
      </c>
      <c r="O10">
        <v>0.97991334799999996</v>
      </c>
    </row>
    <row r="11" spans="1:15" x14ac:dyDescent="0.25">
      <c r="A11" s="18">
        <v>42916</v>
      </c>
      <c r="B11" s="19">
        <v>1.0012011075954119</v>
      </c>
      <c r="C11" s="19">
        <f t="shared" si="0"/>
        <v>1.0012011080000001</v>
      </c>
      <c r="D11" s="18">
        <f>+CurvaEonia!C10</f>
        <v>42886</v>
      </c>
      <c r="E11" s="11">
        <f>+CurvaEonia!E10</f>
        <v>1.000902926</v>
      </c>
      <c r="F11" s="18">
        <v>44620</v>
      </c>
      <c r="G11" s="56">
        <v>0.99514284906770856</v>
      </c>
      <c r="H11" s="55">
        <f t="shared" si="1"/>
        <v>0.99514358800000002</v>
      </c>
      <c r="I11" s="18">
        <v>44985</v>
      </c>
      <c r="J11">
        <v>0.98750970299999996</v>
      </c>
      <c r="K11" s="18">
        <v>45139</v>
      </c>
      <c r="L11">
        <v>0.9010341073700644</v>
      </c>
      <c r="M11">
        <f t="shared" si="2"/>
        <v>0.90105566599999998</v>
      </c>
      <c r="N11" s="18">
        <v>44545</v>
      </c>
      <c r="O11">
        <v>0.95115499100000001</v>
      </c>
    </row>
    <row r="12" spans="1:15" x14ac:dyDescent="0.25">
      <c r="A12" s="18">
        <v>42947</v>
      </c>
      <c r="B12" s="19">
        <v>1.0015025041317125</v>
      </c>
      <c r="C12" s="19">
        <f t="shared" si="0"/>
        <v>1.0015025040000001</v>
      </c>
      <c r="D12" s="18">
        <f>+CurvaEonia!C11</f>
        <v>42916</v>
      </c>
      <c r="E12" s="11">
        <f>+CurvaEonia!E11</f>
        <v>1.0012011080000001</v>
      </c>
      <c r="F12" s="18">
        <v>44985</v>
      </c>
      <c r="G12" s="56">
        <v>0.98750794970956224</v>
      </c>
      <c r="H12" s="55">
        <f t="shared" si="1"/>
        <v>0.98750970299999996</v>
      </c>
      <c r="I12" s="18">
        <v>45351</v>
      </c>
      <c r="J12">
        <v>0.97719341999999998</v>
      </c>
      <c r="K12" s="18">
        <v>45352</v>
      </c>
      <c r="L12">
        <v>0.87653491548086815</v>
      </c>
      <c r="M12">
        <f t="shared" si="2"/>
        <v>0.87680894200000004</v>
      </c>
      <c r="N12" s="18">
        <v>44666</v>
      </c>
      <c r="O12">
        <v>0.94237887300000001</v>
      </c>
    </row>
    <row r="13" spans="1:15" x14ac:dyDescent="0.25">
      <c r="A13" s="18">
        <v>42978</v>
      </c>
      <c r="B13" s="19">
        <v>1.0018074833238082</v>
      </c>
      <c r="C13" s="19">
        <f t="shared" si="0"/>
        <v>1.0018074830000001</v>
      </c>
      <c r="D13" s="18">
        <f>+CurvaEonia!C12</f>
        <v>42947</v>
      </c>
      <c r="E13" s="11">
        <f>+CurvaEonia!E12</f>
        <v>1.0015025040000001</v>
      </c>
      <c r="F13" s="18">
        <v>45350</v>
      </c>
      <c r="G13" s="56">
        <v>0.97722524105185626</v>
      </c>
      <c r="H13" s="55" t="e">
        <f t="shared" si="1"/>
        <v>#N/A</v>
      </c>
      <c r="I13" s="18">
        <v>45716</v>
      </c>
      <c r="J13">
        <v>0.96445952599999996</v>
      </c>
      <c r="K13" s="18">
        <v>45536</v>
      </c>
      <c r="L13">
        <v>0.86226494830159628</v>
      </c>
      <c r="M13">
        <f t="shared" si="2"/>
        <v>0.86265603800000001</v>
      </c>
      <c r="N13" s="18">
        <v>44819</v>
      </c>
      <c r="O13">
        <v>0.932209493</v>
      </c>
    </row>
    <row r="14" spans="1:15" x14ac:dyDescent="0.25">
      <c r="A14" s="18">
        <v>43007</v>
      </c>
      <c r="B14" s="19">
        <v>1.0020988961379609</v>
      </c>
      <c r="C14" s="19">
        <f t="shared" si="0"/>
        <v>1.0020988959999999</v>
      </c>
      <c r="D14" s="18">
        <f>+CurvaEonia!C13</f>
        <v>42978</v>
      </c>
      <c r="E14" s="11">
        <f>+CurvaEonia!E13</f>
        <v>1.0018074830000001</v>
      </c>
      <c r="F14" s="18">
        <v>45716</v>
      </c>
      <c r="G14" s="56">
        <v>0.96445423938039454</v>
      </c>
      <c r="H14" s="55">
        <f t="shared" si="1"/>
        <v>0.96445952599999996</v>
      </c>
      <c r="I14" s="18">
        <v>46080</v>
      </c>
      <c r="J14">
        <v>0.94989288900000002</v>
      </c>
      <c r="K14" s="18">
        <v>45717</v>
      </c>
      <c r="L14">
        <v>0.84645448223895314</v>
      </c>
      <c r="M14">
        <f t="shared" si="2"/>
        <v>0.84682259699999995</v>
      </c>
      <c r="N14" s="18">
        <v>45047</v>
      </c>
      <c r="O14">
        <v>0.90559470200000003</v>
      </c>
    </row>
    <row r="15" spans="1:15" x14ac:dyDescent="0.25">
      <c r="A15" s="18">
        <v>43039</v>
      </c>
      <c r="B15" s="19">
        <v>1.0024149847674824</v>
      </c>
      <c r="C15" s="19">
        <f t="shared" si="0"/>
        <v>1.0024149849999999</v>
      </c>
      <c r="D15" s="18">
        <f>+CurvaEonia!C14</f>
        <v>43007</v>
      </c>
      <c r="E15" s="11">
        <f>+CurvaEonia!E14</f>
        <v>1.0020988959999999</v>
      </c>
      <c r="F15" s="18">
        <v>46080</v>
      </c>
      <c r="G15" s="56">
        <v>0.94988542843728851</v>
      </c>
      <c r="H15" s="55">
        <f t="shared" si="1"/>
        <v>0.94989288900000002</v>
      </c>
      <c r="I15" s="18">
        <v>46444</v>
      </c>
      <c r="J15">
        <v>0.93410769199999999</v>
      </c>
      <c r="K15" s="18">
        <v>45992</v>
      </c>
      <c r="L15">
        <v>0.83082153148316018</v>
      </c>
      <c r="M15">
        <f t="shared" si="2"/>
        <v>0.83090999700000001</v>
      </c>
      <c r="N15" s="18">
        <v>45139</v>
      </c>
      <c r="O15">
        <v>0.90105566599999998</v>
      </c>
    </row>
    <row r="16" spans="1:15" x14ac:dyDescent="0.25">
      <c r="A16" s="18">
        <v>43069</v>
      </c>
      <c r="B16" s="19">
        <v>1.0027114990119252</v>
      </c>
      <c r="C16" s="19">
        <f t="shared" si="0"/>
        <v>1.0027114989999999</v>
      </c>
      <c r="D16" s="18">
        <f>+CurvaEonia!C15</f>
        <v>43039</v>
      </c>
      <c r="E16" s="11">
        <f>+CurvaEonia!E15</f>
        <v>1.0024149849999999</v>
      </c>
      <c r="F16" s="18">
        <v>46444</v>
      </c>
      <c r="G16" s="56">
        <v>0.93409802506350226</v>
      </c>
      <c r="H16" s="55">
        <f t="shared" si="1"/>
        <v>0.93410769199999999</v>
      </c>
      <c r="I16" s="18">
        <v>46812</v>
      </c>
      <c r="J16">
        <v>0.91730497600000005</v>
      </c>
      <c r="K16" s="18">
        <v>46082</v>
      </c>
      <c r="L16">
        <v>0.81360392605203435</v>
      </c>
      <c r="M16">
        <f t="shared" si="2"/>
        <v>0.81396514799999997</v>
      </c>
      <c r="N16" s="18">
        <v>45352</v>
      </c>
      <c r="O16">
        <v>0.87680894200000004</v>
      </c>
    </row>
    <row r="17" spans="1:15" x14ac:dyDescent="0.25">
      <c r="A17" s="18">
        <v>43098</v>
      </c>
      <c r="B17" s="19">
        <v>1.0029982962402428</v>
      </c>
      <c r="C17" s="19">
        <f t="shared" si="0"/>
        <v>1.0029982959999999</v>
      </c>
      <c r="D17" s="18">
        <f>+CurvaEonia!C16</f>
        <v>43069</v>
      </c>
      <c r="E17" s="11">
        <f>+CurvaEonia!E16</f>
        <v>1.0027114989999999</v>
      </c>
      <c r="F17" s="18">
        <v>46811</v>
      </c>
      <c r="G17" s="56">
        <v>0.91734000687862749</v>
      </c>
      <c r="H17" s="55" t="e">
        <f t="shared" si="1"/>
        <v>#N/A</v>
      </c>
      <c r="I17" s="18">
        <v>47177</v>
      </c>
      <c r="J17">
        <v>0.90035686400000003</v>
      </c>
      <c r="K17" s="18">
        <v>46357</v>
      </c>
      <c r="L17">
        <v>0.80768658156056516</v>
      </c>
      <c r="M17">
        <f t="shared" si="2"/>
        <v>0.80774856299999997</v>
      </c>
      <c r="N17" s="18">
        <v>45536</v>
      </c>
      <c r="O17">
        <v>0.86265603800000001</v>
      </c>
    </row>
    <row r="18" spans="1:15" x14ac:dyDescent="0.25">
      <c r="A18" s="18">
        <v>43131</v>
      </c>
      <c r="B18" s="19">
        <v>1.0033248513365487</v>
      </c>
      <c r="C18" s="19">
        <f t="shared" si="0"/>
        <v>1.0033248509999999</v>
      </c>
      <c r="D18" s="18">
        <f>+CurvaEonia!C17</f>
        <v>43098</v>
      </c>
      <c r="E18" s="11">
        <f>+CurvaEonia!E17</f>
        <v>1.0029982959999999</v>
      </c>
      <c r="F18" s="18">
        <v>47177</v>
      </c>
      <c r="G18" s="56">
        <v>0.90034319521593864</v>
      </c>
      <c r="H18" s="55">
        <f t="shared" si="1"/>
        <v>0.90035686400000003</v>
      </c>
      <c r="I18" s="18">
        <v>47542</v>
      </c>
      <c r="J18">
        <v>0.88333648600000003</v>
      </c>
      <c r="K18" s="18">
        <v>46997</v>
      </c>
      <c r="L18">
        <v>0.73436318864098971</v>
      </c>
      <c r="M18">
        <f t="shared" si="2"/>
        <v>0.73475000099999999</v>
      </c>
      <c r="N18" s="18">
        <v>45717</v>
      </c>
      <c r="O18">
        <v>0.84682259699999995</v>
      </c>
    </row>
    <row r="19" spans="1:15" x14ac:dyDescent="0.25">
      <c r="A19" s="18">
        <v>43159</v>
      </c>
      <c r="B19" s="19">
        <v>1.0036020951866607</v>
      </c>
      <c r="C19" s="19">
        <f t="shared" si="0"/>
        <v>1.003602095</v>
      </c>
      <c r="D19" s="18">
        <f>+CurvaEonia!C18</f>
        <v>43131</v>
      </c>
      <c r="E19" s="11">
        <f>+CurvaEonia!E18</f>
        <v>1.0033248509999999</v>
      </c>
      <c r="F19" s="18">
        <v>47542</v>
      </c>
      <c r="G19" s="56">
        <v>0.88331444458260511</v>
      </c>
      <c r="H19" s="55">
        <f t="shared" si="1"/>
        <v>0.88333648600000003</v>
      </c>
      <c r="I19" s="18">
        <v>47907</v>
      </c>
      <c r="J19">
        <v>0.86661348000000005</v>
      </c>
      <c r="K19" s="18">
        <v>47543</v>
      </c>
      <c r="L19">
        <v>0.70546136562044692</v>
      </c>
      <c r="M19">
        <f t="shared" si="2"/>
        <v>0.70562020000000003</v>
      </c>
      <c r="N19" s="18">
        <v>45992</v>
      </c>
      <c r="O19">
        <v>0.83090999700000001</v>
      </c>
    </row>
    <row r="20" spans="1:15" x14ac:dyDescent="0.25">
      <c r="A20" s="18">
        <v>43251</v>
      </c>
      <c r="B20" s="19">
        <v>1.0044724763495174</v>
      </c>
      <c r="C20" s="19">
        <f t="shared" si="0"/>
        <v>1.0044725809999999</v>
      </c>
      <c r="D20" s="18">
        <f>+CurvaEonia!C19</f>
        <v>43159</v>
      </c>
      <c r="E20" s="11">
        <f>+CurvaEonia!E19</f>
        <v>1.003602095</v>
      </c>
      <c r="F20" s="18">
        <v>47907</v>
      </c>
      <c r="G20" s="56">
        <v>0.86657849858349134</v>
      </c>
      <c r="H20" s="55">
        <f t="shared" si="1"/>
        <v>0.86661348000000005</v>
      </c>
      <c r="I20" s="18">
        <v>48271</v>
      </c>
      <c r="J20">
        <v>0.85037110299999996</v>
      </c>
      <c r="K20" s="18">
        <v>48274</v>
      </c>
      <c r="L20">
        <v>0.68339763218176353</v>
      </c>
      <c r="M20">
        <f t="shared" si="2"/>
        <v>0.68350745099999999</v>
      </c>
      <c r="N20" s="18">
        <v>46082</v>
      </c>
      <c r="O20">
        <v>0.81396514799999997</v>
      </c>
    </row>
    <row r="21" spans="1:15" x14ac:dyDescent="0.25">
      <c r="A21" s="18">
        <v>43343</v>
      </c>
      <c r="B21" s="19">
        <v>1.0053290174602778</v>
      </c>
      <c r="C21" s="19">
        <f t="shared" si="0"/>
        <v>1.0053291879999999</v>
      </c>
      <c r="D21" s="18">
        <f>+CurvaEonia!C20</f>
        <v>43251</v>
      </c>
      <c r="E21" s="11">
        <f>+CurvaEonia!E20</f>
        <v>1.0044725809999999</v>
      </c>
      <c r="F21" s="18">
        <v>48271</v>
      </c>
      <c r="G21" s="56">
        <v>0.85033040793412973</v>
      </c>
      <c r="H21" s="55">
        <f t="shared" si="1"/>
        <v>0.85037110299999996</v>
      </c>
      <c r="I21" s="18">
        <v>48638</v>
      </c>
      <c r="J21">
        <v>0.83451795299999998</v>
      </c>
      <c r="K21" s="18">
        <v>49157</v>
      </c>
      <c r="L21">
        <v>0.58230394277975084</v>
      </c>
      <c r="M21">
        <f t="shared" si="2"/>
        <v>0.58249503899999999</v>
      </c>
      <c r="N21" s="18">
        <v>46357</v>
      </c>
      <c r="O21">
        <v>0.80774856299999997</v>
      </c>
    </row>
    <row r="22" spans="1:15" x14ac:dyDescent="0.25">
      <c r="A22" s="18">
        <v>43434</v>
      </c>
      <c r="B22" s="19">
        <v>1.0061261869477567</v>
      </c>
      <c r="C22" s="19">
        <f t="shared" si="0"/>
        <v>1.006126356</v>
      </c>
      <c r="D22" s="18">
        <f>+CurvaEonia!C21</f>
        <v>43343</v>
      </c>
      <c r="E22" s="11">
        <f>+CurvaEonia!E21</f>
        <v>1.0053291879999999</v>
      </c>
      <c r="F22" s="18">
        <v>48638</v>
      </c>
      <c r="G22" s="56">
        <v>0.83447402436214524</v>
      </c>
      <c r="H22" s="55">
        <f t="shared" si="1"/>
        <v>0.83451795299999998</v>
      </c>
      <c r="I22" s="18">
        <v>49003</v>
      </c>
      <c r="J22">
        <v>0.81935107399999996</v>
      </c>
      <c r="K22" s="18">
        <v>49919</v>
      </c>
      <c r="L22">
        <v>0.57174716421727356</v>
      </c>
      <c r="M22">
        <f t="shared" si="2"/>
        <v>0.57197957499999996</v>
      </c>
      <c r="N22" s="18">
        <v>46997</v>
      </c>
      <c r="O22">
        <v>0.73475000099999999</v>
      </c>
    </row>
    <row r="23" spans="1:15" x14ac:dyDescent="0.25">
      <c r="A23" s="18">
        <v>43524</v>
      </c>
      <c r="B23" s="19">
        <v>1.0068693901403518</v>
      </c>
      <c r="C23" s="19">
        <f t="shared" si="0"/>
        <v>1.0068693900000001</v>
      </c>
      <c r="D23" s="18">
        <f>+CurvaEonia!C22</f>
        <v>43434</v>
      </c>
      <c r="E23" s="11">
        <f>+CurvaEonia!E22</f>
        <v>1.006126356</v>
      </c>
      <c r="F23" s="18">
        <v>49003</v>
      </c>
      <c r="G23" s="56">
        <v>0.81929695420711068</v>
      </c>
      <c r="H23" s="55">
        <f t="shared" si="1"/>
        <v>0.81935107399999996</v>
      </c>
      <c r="I23" s="18">
        <v>49368</v>
      </c>
      <c r="J23">
        <v>0.80487672399999999</v>
      </c>
      <c r="K23" s="18">
        <v>51380</v>
      </c>
      <c r="L23">
        <v>0.42096313748835767</v>
      </c>
      <c r="M23">
        <f t="shared" si="2"/>
        <v>0.422204988</v>
      </c>
      <c r="N23" s="18">
        <v>47543</v>
      </c>
      <c r="O23">
        <v>0.70562020000000003</v>
      </c>
    </row>
    <row r="24" spans="1:15" x14ac:dyDescent="0.25">
      <c r="A24" s="18">
        <v>43889</v>
      </c>
      <c r="B24" s="19">
        <v>1.009123370345876</v>
      </c>
      <c r="C24" s="19">
        <f t="shared" si="0"/>
        <v>1.00912337</v>
      </c>
      <c r="D24" s="18">
        <f>+CurvaEonia!C23</f>
        <v>43524</v>
      </c>
      <c r="E24" s="11">
        <f>+CurvaEonia!E23</f>
        <v>1.0068693900000001</v>
      </c>
      <c r="F24" s="18">
        <v>49368</v>
      </c>
      <c r="G24" s="56">
        <v>0.80481169706881495</v>
      </c>
      <c r="H24" s="55">
        <f t="shared" si="1"/>
        <v>0.80487672399999999</v>
      </c>
      <c r="I24" s="18">
        <v>49734</v>
      </c>
      <c r="J24">
        <v>0.79105335799999998</v>
      </c>
      <c r="K24" s="18">
        <v>52841</v>
      </c>
      <c r="L24">
        <v>0.35890454133613492</v>
      </c>
      <c r="M24">
        <f t="shared" si="2"/>
        <v>0.35986929899999998</v>
      </c>
      <c r="N24" s="18">
        <v>48274</v>
      </c>
      <c r="O24">
        <v>0.68350745099999999</v>
      </c>
    </row>
    <row r="25" spans="1:15" x14ac:dyDescent="0.25">
      <c r="A25" s="18">
        <v>44253</v>
      </c>
      <c r="B25" s="19">
        <v>1.0096344315855161</v>
      </c>
      <c r="C25" s="19">
        <f t="shared" si="0"/>
        <v>1.0096344319999999</v>
      </c>
      <c r="D25" s="18">
        <f>+CurvaEonia!C24</f>
        <v>43889</v>
      </c>
      <c r="E25" s="11">
        <f>+CurvaEonia!E24</f>
        <v>1.00912337</v>
      </c>
      <c r="F25" s="18">
        <v>49733</v>
      </c>
      <c r="G25" s="56">
        <v>0.79101668918836454</v>
      </c>
      <c r="H25" s="55" t="e">
        <f t="shared" si="1"/>
        <v>#N/A</v>
      </c>
      <c r="I25" s="18">
        <v>50098</v>
      </c>
      <c r="J25">
        <v>0.77797636100000001</v>
      </c>
      <c r="K25" s="18">
        <v>53571</v>
      </c>
      <c r="L25">
        <v>0.36360969159239848</v>
      </c>
      <c r="M25">
        <f t="shared" si="2"/>
        <v>0.36420364300000002</v>
      </c>
      <c r="N25" s="18">
        <v>49157</v>
      </c>
      <c r="O25">
        <v>0.58249503899999999</v>
      </c>
    </row>
    <row r="26" spans="1:15" x14ac:dyDescent="0.25">
      <c r="A26" s="18">
        <v>44620</v>
      </c>
      <c r="B26" s="19">
        <v>1.0076644663106404</v>
      </c>
      <c r="C26" s="19">
        <f t="shared" si="0"/>
        <v>1.007664466</v>
      </c>
      <c r="D26" s="18">
        <f>+CurvaEonia!C25</f>
        <v>44253</v>
      </c>
      <c r="E26" s="11">
        <f>+CurvaEonia!E25</f>
        <v>1.0096344319999999</v>
      </c>
      <c r="F26" s="18">
        <v>50098</v>
      </c>
      <c r="G26" s="56">
        <v>0.7779004697610149</v>
      </c>
      <c r="H26" s="55">
        <f t="shared" si="1"/>
        <v>0.77797636100000001</v>
      </c>
      <c r="I26" s="18">
        <v>50462</v>
      </c>
      <c r="J26">
        <v>0.76543790499999997</v>
      </c>
      <c r="K26" s="18">
        <v>53752</v>
      </c>
      <c r="L26">
        <v>0.36130589659445667</v>
      </c>
      <c r="M26">
        <f t="shared" si="2"/>
        <v>0.36176470399999999</v>
      </c>
      <c r="N26" s="18">
        <v>49919</v>
      </c>
      <c r="O26">
        <v>0.57197957499999996</v>
      </c>
    </row>
    <row r="27" spans="1:15" x14ac:dyDescent="0.25">
      <c r="A27" s="18">
        <v>44985</v>
      </c>
      <c r="B27" s="19">
        <v>1.0026955570801963</v>
      </c>
      <c r="C27" s="19">
        <f t="shared" si="0"/>
        <v>1.002695557</v>
      </c>
      <c r="D27" s="18">
        <f>+CurvaEonia!C26</f>
        <v>44620</v>
      </c>
      <c r="E27" s="11">
        <f>+CurvaEonia!E26</f>
        <v>1.007664466</v>
      </c>
      <c r="F27" s="18">
        <v>50462</v>
      </c>
      <c r="G27" s="56">
        <v>0.76536509337599723</v>
      </c>
      <c r="H27" s="55">
        <f t="shared" si="1"/>
        <v>0.76543790499999997</v>
      </c>
      <c r="I27" s="18">
        <v>50829</v>
      </c>
      <c r="J27">
        <v>0.75311209499999998</v>
      </c>
      <c r="K27" s="18"/>
      <c r="N27" s="18">
        <v>51380</v>
      </c>
      <c r="O27">
        <v>0.422204988</v>
      </c>
    </row>
    <row r="28" spans="1:15" x14ac:dyDescent="0.25">
      <c r="A28" s="18">
        <v>45351</v>
      </c>
      <c r="B28" s="19">
        <v>0.99457556238603284</v>
      </c>
      <c r="C28" s="19">
        <f t="shared" si="0"/>
        <v>0.99457556199999997</v>
      </c>
      <c r="D28" s="18">
        <f>+CurvaEonia!C27</f>
        <v>44985</v>
      </c>
      <c r="E28" s="11">
        <f>+CurvaEonia!E27</f>
        <v>1.002695557</v>
      </c>
      <c r="F28" s="18">
        <v>50829</v>
      </c>
      <c r="G28" s="56">
        <v>0.75304006780068766</v>
      </c>
      <c r="H28" s="55">
        <f t="shared" si="1"/>
        <v>0.75311209499999998</v>
      </c>
      <c r="I28" s="18">
        <v>51195</v>
      </c>
      <c r="J28">
        <v>0.74154270300000003</v>
      </c>
      <c r="K28" s="18"/>
      <c r="N28" s="18">
        <v>52841</v>
      </c>
      <c r="O28">
        <v>0.35986929899999998</v>
      </c>
    </row>
    <row r="29" spans="1:15" x14ac:dyDescent="0.25">
      <c r="A29" s="18">
        <v>45716</v>
      </c>
      <c r="B29" s="19">
        <v>0.98356801388041359</v>
      </c>
      <c r="C29" s="19">
        <f t="shared" si="0"/>
        <v>0.98356801400000005</v>
      </c>
      <c r="D29" s="18">
        <f>+CurvaEonia!C28</f>
        <v>45351</v>
      </c>
      <c r="E29" s="11">
        <f>+CurvaEonia!E28</f>
        <v>0.99457556199999997</v>
      </c>
      <c r="F29" s="18">
        <v>51194</v>
      </c>
      <c r="G29" s="56">
        <v>0.74150181413592575</v>
      </c>
      <c r="H29" s="55" t="e">
        <f t="shared" si="1"/>
        <v>#N/A</v>
      </c>
      <c r="I29" s="18">
        <v>51560</v>
      </c>
      <c r="J29">
        <v>0.73022832000000004</v>
      </c>
      <c r="K29" s="18"/>
      <c r="N29" s="12">
        <v>53571</v>
      </c>
      <c r="O29">
        <v>0.36420364300000002</v>
      </c>
    </row>
    <row r="30" spans="1:15" x14ac:dyDescent="0.25">
      <c r="A30" s="18">
        <v>46080</v>
      </c>
      <c r="B30" s="19">
        <v>0.97046450332302481</v>
      </c>
      <c r="C30" s="19">
        <f t="shared" si="0"/>
        <v>0.97046450299999998</v>
      </c>
      <c r="D30" s="18">
        <f>+CurvaEonia!C29</f>
        <v>45716</v>
      </c>
      <c r="E30" s="11">
        <f>+CurvaEonia!E29</f>
        <v>0.98356801400000005</v>
      </c>
      <c r="F30" s="18">
        <v>51560</v>
      </c>
      <c r="G30" s="56">
        <v>0.73015587255063097</v>
      </c>
      <c r="H30" s="55">
        <f t="shared" si="1"/>
        <v>0.73022832000000004</v>
      </c>
      <c r="I30" s="18">
        <v>51925</v>
      </c>
      <c r="J30">
        <v>0.71952716800000005</v>
      </c>
      <c r="K30" s="18"/>
      <c r="N30" s="18">
        <v>53752</v>
      </c>
      <c r="O30">
        <v>0.36176470399999999</v>
      </c>
    </row>
    <row r="31" spans="1:15" x14ac:dyDescent="0.25">
      <c r="A31" s="18">
        <v>46444</v>
      </c>
      <c r="B31" s="19">
        <v>0.95573891253518695</v>
      </c>
      <c r="C31" s="19">
        <f t="shared" si="0"/>
        <v>0.95573891300000002</v>
      </c>
      <c r="D31" s="18">
        <f>+CurvaEonia!C30</f>
        <v>46080</v>
      </c>
      <c r="E31" s="11">
        <f>+CurvaEonia!E30</f>
        <v>0.97046450299999998</v>
      </c>
      <c r="F31" s="18">
        <v>51925</v>
      </c>
      <c r="G31" s="56">
        <v>0.71945455736313302</v>
      </c>
      <c r="H31" s="55">
        <f t="shared" si="1"/>
        <v>0.71952716800000005</v>
      </c>
      <c r="I31" s="18">
        <v>52289</v>
      </c>
      <c r="J31">
        <v>0.70910487600000005</v>
      </c>
      <c r="K31" s="18"/>
    </row>
    <row r="32" spans="1:15" x14ac:dyDescent="0.25">
      <c r="A32" s="18">
        <v>46812</v>
      </c>
      <c r="B32" s="19">
        <v>0.93981590629116718</v>
      </c>
      <c r="C32" s="19">
        <f t="shared" si="0"/>
        <v>0.93981590599999998</v>
      </c>
      <c r="D32" s="18">
        <f>+CurvaEonia!C31</f>
        <v>46444</v>
      </c>
      <c r="E32" s="11">
        <f>+CurvaEonia!E31</f>
        <v>0.95573891300000002</v>
      </c>
      <c r="F32" s="18">
        <v>52289</v>
      </c>
      <c r="G32" s="56">
        <v>0.70903464870625355</v>
      </c>
      <c r="H32" s="55">
        <f t="shared" si="1"/>
        <v>0.70910487600000005</v>
      </c>
      <c r="I32" s="18">
        <v>52656</v>
      </c>
      <c r="J32">
        <v>0.69888750799999999</v>
      </c>
      <c r="K32" s="18"/>
    </row>
    <row r="33" spans="1:11" x14ac:dyDescent="0.25">
      <c r="A33" s="18">
        <v>47177</v>
      </c>
      <c r="B33" s="19">
        <v>0.92357173364707856</v>
      </c>
      <c r="C33" s="19">
        <f t="shared" si="0"/>
        <v>0.92357173400000003</v>
      </c>
      <c r="D33" s="18">
        <f>+CurvaEonia!C32</f>
        <v>46812</v>
      </c>
      <c r="E33" s="11">
        <f>+CurvaEonia!E32</f>
        <v>0.93981590599999998</v>
      </c>
      <c r="F33" s="18">
        <v>52656</v>
      </c>
      <c r="G33" s="56">
        <v>0.69881888446946805</v>
      </c>
      <c r="H33" s="55">
        <f t="shared" si="1"/>
        <v>0.69888750799999999</v>
      </c>
      <c r="I33" s="18">
        <v>53021</v>
      </c>
      <c r="J33">
        <v>0.68904264199999998</v>
      </c>
      <c r="K33" s="18"/>
    </row>
    <row r="34" spans="1:11" x14ac:dyDescent="0.25">
      <c r="A34" s="18">
        <v>48271</v>
      </c>
      <c r="B34" s="19">
        <v>0.87486913045394488</v>
      </c>
      <c r="C34" s="19">
        <f t="shared" si="0"/>
        <v>0.87484442399999995</v>
      </c>
      <c r="D34" s="18">
        <f>+CurvaEonia!C33</f>
        <v>47177</v>
      </c>
      <c r="E34" s="11">
        <f>+CurvaEonia!E33</f>
        <v>0.92357173400000003</v>
      </c>
      <c r="F34" s="18">
        <v>53021</v>
      </c>
      <c r="G34" s="56">
        <v>0.68897508175039746</v>
      </c>
      <c r="H34" s="55">
        <f t="shared" si="1"/>
        <v>0.68904264199999998</v>
      </c>
      <c r="I34" s="18">
        <v>53386</v>
      </c>
      <c r="J34">
        <v>0.67948816400000001</v>
      </c>
      <c r="K34" s="18"/>
    </row>
    <row r="35" spans="1:11" x14ac:dyDescent="0.25">
      <c r="A35" s="18">
        <v>50098</v>
      </c>
      <c r="B35" s="19">
        <v>0.80227383438302668</v>
      </c>
      <c r="C35" s="19">
        <f t="shared" si="0"/>
        <v>0.80216623300000001</v>
      </c>
      <c r="D35" s="18">
        <f>+CurvaEonia!C34</f>
        <v>47542</v>
      </c>
      <c r="E35" s="11">
        <f>+CurvaEonia!E34</f>
        <v>0.90848436600000004</v>
      </c>
      <c r="F35" s="18">
        <v>53386</v>
      </c>
      <c r="G35" s="56">
        <v>0.67942129562593523</v>
      </c>
      <c r="H35" s="55">
        <f t="shared" si="1"/>
        <v>0.67948816400000001</v>
      </c>
      <c r="I35" s="18">
        <v>53751</v>
      </c>
      <c r="J35">
        <v>0.67026573700000003</v>
      </c>
      <c r="K35" s="18"/>
    </row>
    <row r="36" spans="1:11" x14ac:dyDescent="0.25">
      <c r="A36" s="18">
        <v>51925</v>
      </c>
      <c r="B36" s="19">
        <v>0.74312658277693899</v>
      </c>
      <c r="C36" s="19">
        <f t="shared" si="0"/>
        <v>0.74298346100000001</v>
      </c>
      <c r="D36" s="18">
        <f>+CurvaEonia!C35</f>
        <v>47907</v>
      </c>
      <c r="E36" s="11">
        <f>+CurvaEonia!E35</f>
        <v>0.89221052199999995</v>
      </c>
      <c r="F36" s="18">
        <v>53751</v>
      </c>
      <c r="G36" s="56">
        <v>0.6701992170891744</v>
      </c>
      <c r="H36" s="55">
        <f t="shared" si="1"/>
        <v>0.67026573700000003</v>
      </c>
      <c r="I36" s="18">
        <v>55578</v>
      </c>
      <c r="J36">
        <v>0.62686140499999998</v>
      </c>
      <c r="K36" s="18"/>
    </row>
    <row r="37" spans="1:11" x14ac:dyDescent="0.25">
      <c r="A37" s="18">
        <v>53751</v>
      </c>
      <c r="B37" s="19">
        <v>0.69287927839767771</v>
      </c>
      <c r="C37" s="19">
        <f t="shared" si="0"/>
        <v>0.69272529400000005</v>
      </c>
      <c r="D37" s="18">
        <f>+CurvaEonia!C36</f>
        <v>48271</v>
      </c>
      <c r="E37" s="11">
        <f>+CurvaEonia!E36</f>
        <v>0.87484442399999995</v>
      </c>
      <c r="F37" s="18">
        <v>55577</v>
      </c>
      <c r="G37" s="56">
        <v>0.62682195829203169</v>
      </c>
      <c r="H37" s="55" t="e">
        <f t="shared" si="1"/>
        <v>#N/A</v>
      </c>
      <c r="I37" s="18">
        <v>57404</v>
      </c>
      <c r="J37">
        <v>0.58925921599999997</v>
      </c>
      <c r="K37" s="18"/>
    </row>
    <row r="38" spans="1:11" x14ac:dyDescent="0.25">
      <c r="A38" s="18">
        <v>57404</v>
      </c>
      <c r="B38" s="19">
        <v>0.61030838078649063</v>
      </c>
      <c r="C38" s="19">
        <f t="shared" si="0"/>
        <v>0.61013978800000002</v>
      </c>
      <c r="D38" s="18">
        <f>+CurvaEonia!C37</f>
        <v>48638</v>
      </c>
      <c r="E38" s="11">
        <f>+CurvaEonia!E37</f>
        <v>0.86129678399999998</v>
      </c>
      <c r="F38" s="18">
        <v>57404</v>
      </c>
      <c r="G38" s="56">
        <v>0.58920032368474273</v>
      </c>
      <c r="H38" s="55">
        <f t="shared" si="1"/>
        <v>0.58925921599999997</v>
      </c>
      <c r="I38" s="18">
        <v>61056</v>
      </c>
      <c r="J38">
        <v>0.53531781099999998</v>
      </c>
      <c r="K38" s="18"/>
    </row>
    <row r="39" spans="1:11" x14ac:dyDescent="0.25">
      <c r="A39" s="18">
        <v>61056</v>
      </c>
      <c r="B39" s="19">
        <v>0.55518846296200541</v>
      </c>
      <c r="C39" s="19">
        <f t="shared" si="0"/>
        <v>0.55509332099999997</v>
      </c>
      <c r="D39" s="18">
        <f>+CurvaEonia!C38</f>
        <v>49003</v>
      </c>
      <c r="E39" s="11">
        <f>+CurvaEonia!E38</f>
        <v>0.847276374</v>
      </c>
      <c r="F39" s="18">
        <v>61056</v>
      </c>
      <c r="G39" s="56">
        <v>0.53524273757747676</v>
      </c>
      <c r="H39" s="55">
        <f t="shared" si="1"/>
        <v>0.53531781099999998</v>
      </c>
      <c r="I39" s="18">
        <v>64707</v>
      </c>
      <c r="J39">
        <v>0.48648933500000002</v>
      </c>
      <c r="K39" s="18"/>
    </row>
    <row r="40" spans="1:11" x14ac:dyDescent="0.25">
      <c r="A40" s="18">
        <v>64707</v>
      </c>
      <c r="B40" s="19">
        <v>0.50543262986960902</v>
      </c>
      <c r="C40" s="19">
        <f t="shared" si="0"/>
        <v>0.50538285999999999</v>
      </c>
      <c r="D40" s="18">
        <f>+CurvaEonia!C39</f>
        <v>49368</v>
      </c>
      <c r="E40" s="11">
        <f>+CurvaEonia!E39</f>
        <v>0.83273288199999995</v>
      </c>
      <c r="F40" s="18">
        <v>64707</v>
      </c>
      <c r="G40" s="56">
        <v>0.48640985694068539</v>
      </c>
      <c r="H40" s="55">
        <f t="shared" si="1"/>
        <v>0.48648933500000002</v>
      </c>
      <c r="I40" s="18"/>
      <c r="K40" s="18"/>
    </row>
    <row r="41" spans="1:11" x14ac:dyDescent="0.25">
      <c r="A41" s="18"/>
      <c r="B41" s="11"/>
      <c r="C41" s="19" t="e">
        <f t="shared" si="0"/>
        <v>#N/A</v>
      </c>
      <c r="D41" s="18">
        <f>+CurvaEonia!C40</f>
        <v>49734</v>
      </c>
      <c r="E41" s="11">
        <f>+CurvaEonia!E40</f>
        <v>0.81764689700000004</v>
      </c>
      <c r="F41" s="18"/>
      <c r="H41" s="55"/>
      <c r="I41" s="18"/>
      <c r="K41" s="18"/>
    </row>
    <row r="42" spans="1:11" x14ac:dyDescent="0.25">
      <c r="A42" s="18"/>
      <c r="B42" s="11"/>
      <c r="C42" s="19" t="e">
        <f t="shared" si="0"/>
        <v>#N/A</v>
      </c>
      <c r="D42" s="18">
        <f>+CurvaEonia!C41</f>
        <v>50098</v>
      </c>
      <c r="E42" s="11">
        <f>+CurvaEonia!E41</f>
        <v>0.80216623300000001</v>
      </c>
      <c r="F42" s="18"/>
      <c r="H42" s="55"/>
      <c r="I42" s="18"/>
      <c r="K42" s="18"/>
    </row>
    <row r="43" spans="1:11" x14ac:dyDescent="0.25">
      <c r="A43" s="18"/>
      <c r="B43" s="11"/>
      <c r="C43" s="19" t="e">
        <f t="shared" si="0"/>
        <v>#N/A</v>
      </c>
      <c r="D43" s="18">
        <f>+CurvaEonia!C42</f>
        <v>50462</v>
      </c>
      <c r="E43" s="11">
        <f>+CurvaEonia!E42</f>
        <v>0.79062319299999995</v>
      </c>
      <c r="F43" s="18"/>
      <c r="H43" s="55"/>
      <c r="I43" s="18"/>
      <c r="K43" s="18"/>
    </row>
    <row r="44" spans="1:11" x14ac:dyDescent="0.25">
      <c r="A44" s="18"/>
      <c r="B44" s="11"/>
      <c r="C44" s="19" t="e">
        <f t="shared" si="0"/>
        <v>#N/A</v>
      </c>
      <c r="D44" s="18">
        <f>+CurvaEonia!C43</f>
        <v>50829</v>
      </c>
      <c r="E44" s="11">
        <f>+CurvaEonia!E43</f>
        <v>0.77885320099999999</v>
      </c>
      <c r="F44" s="18"/>
      <c r="H44" s="55"/>
      <c r="I44" s="18"/>
      <c r="K44" s="18"/>
    </row>
    <row r="45" spans="1:11" x14ac:dyDescent="0.25">
      <c r="A45" s="18"/>
      <c r="B45" s="11"/>
      <c r="C45" s="19" t="e">
        <f t="shared" si="0"/>
        <v>#N/A</v>
      </c>
      <c r="D45" s="18">
        <f>+CurvaEonia!C44</f>
        <v>51195</v>
      </c>
      <c r="E45" s="11">
        <f>+CurvaEonia!E44</f>
        <v>0.76698997599999996</v>
      </c>
      <c r="F45" s="18"/>
      <c r="H45" s="55"/>
      <c r="I45" s="18"/>
      <c r="K45" s="18"/>
    </row>
    <row r="46" spans="1:11" x14ac:dyDescent="0.25">
      <c r="A46" s="18"/>
      <c r="B46" s="11"/>
      <c r="C46" s="19" t="e">
        <f t="shared" si="0"/>
        <v>#N/A</v>
      </c>
      <c r="D46" s="18">
        <f>+CurvaEonia!C45</f>
        <v>51560</v>
      </c>
      <c r="E46" s="11">
        <f>+CurvaEonia!E45</f>
        <v>0.75504170699999995</v>
      </c>
      <c r="F46" s="18"/>
      <c r="H46" s="55"/>
      <c r="I46" s="18"/>
      <c r="K46" s="18"/>
    </row>
    <row r="47" spans="1:11" x14ac:dyDescent="0.25">
      <c r="A47" s="18"/>
      <c r="B47" s="11"/>
      <c r="C47" s="19" t="e">
        <f t="shared" si="0"/>
        <v>#N/A</v>
      </c>
      <c r="D47" s="18">
        <f>+CurvaEonia!C46</f>
        <v>51925</v>
      </c>
      <c r="E47" s="11">
        <f>+CurvaEonia!E46</f>
        <v>0.74298346100000001</v>
      </c>
      <c r="F47" s="18"/>
      <c r="H47" s="55"/>
      <c r="I47" s="18"/>
      <c r="K47" s="18"/>
    </row>
    <row r="48" spans="1:11" x14ac:dyDescent="0.25">
      <c r="A48" s="18"/>
      <c r="B48" s="11"/>
      <c r="C48" s="19" t="e">
        <f t="shared" si="0"/>
        <v>#N/A</v>
      </c>
      <c r="D48" s="18">
        <f>+CurvaEonia!C47</f>
        <v>52289</v>
      </c>
      <c r="E48" s="11">
        <f>+CurvaEonia!E47</f>
        <v>0.732941654</v>
      </c>
      <c r="F48" s="18"/>
      <c r="H48" s="55"/>
      <c r="I48" s="18"/>
      <c r="K48" s="18"/>
    </row>
    <row r="49" spans="1:11" x14ac:dyDescent="0.25">
      <c r="A49" s="18"/>
      <c r="B49" s="11"/>
      <c r="C49" s="19" t="e">
        <f t="shared" si="0"/>
        <v>#N/A</v>
      </c>
      <c r="D49" s="18">
        <f>+CurvaEonia!C48</f>
        <v>52656</v>
      </c>
      <c r="E49" s="11">
        <f>+CurvaEonia!E48</f>
        <v>0.722827094</v>
      </c>
      <c r="F49" s="18"/>
      <c r="H49" s="55"/>
      <c r="I49" s="18"/>
      <c r="K49" s="18"/>
    </row>
    <row r="50" spans="1:11" x14ac:dyDescent="0.25">
      <c r="A50" s="18"/>
      <c r="B50" s="11"/>
      <c r="C50" s="19" t="e">
        <f t="shared" si="0"/>
        <v>#N/A</v>
      </c>
      <c r="D50" s="18">
        <f>+CurvaEonia!C49</f>
        <v>53021</v>
      </c>
      <c r="E50" s="11">
        <f>+CurvaEonia!E49</f>
        <v>0.71277890700000002</v>
      </c>
      <c r="F50" s="18"/>
      <c r="H50" s="55"/>
      <c r="I50" s="18"/>
      <c r="K50" s="18"/>
    </row>
    <row r="51" spans="1:11" x14ac:dyDescent="0.25">
      <c r="A51" s="18"/>
      <c r="B51" s="11"/>
      <c r="C51" s="19" t="e">
        <f t="shared" si="0"/>
        <v>#N/A</v>
      </c>
      <c r="D51" s="18">
        <f>+CurvaEonia!C50</f>
        <v>53386</v>
      </c>
      <c r="E51" s="11">
        <f>+CurvaEonia!E50</f>
        <v>0.70274430300000001</v>
      </c>
      <c r="F51" s="18"/>
      <c r="H51" s="55"/>
      <c r="I51" s="18"/>
      <c r="K51" s="18"/>
    </row>
    <row r="52" spans="1:11" x14ac:dyDescent="0.25">
      <c r="A52" s="18"/>
      <c r="B52" s="11"/>
      <c r="C52" s="19" t="e">
        <f t="shared" si="0"/>
        <v>#N/A</v>
      </c>
      <c r="D52" s="18">
        <f>+CurvaEonia!C51</f>
        <v>53751</v>
      </c>
      <c r="E52" s="11">
        <f>+CurvaEonia!E51</f>
        <v>0.69272529400000005</v>
      </c>
      <c r="F52" s="18"/>
      <c r="H52" s="55"/>
      <c r="I52" s="18"/>
      <c r="K52" s="18"/>
    </row>
    <row r="53" spans="1:11" x14ac:dyDescent="0.25">
      <c r="A53" s="18"/>
      <c r="B53" s="11"/>
      <c r="C53" s="19" t="e">
        <f t="shared" si="0"/>
        <v>#N/A</v>
      </c>
      <c r="D53" s="18">
        <f>+CurvaEonia!C52</f>
        <v>54116</v>
      </c>
      <c r="E53" s="11">
        <f>+CurvaEonia!E52</f>
        <v>0.68414344500000002</v>
      </c>
      <c r="F53" s="18"/>
      <c r="H53" s="55"/>
      <c r="I53" s="18"/>
      <c r="K53" s="18"/>
    </row>
    <row r="54" spans="1:11" x14ac:dyDescent="0.25">
      <c r="A54" s="11"/>
      <c r="B54" s="11"/>
      <c r="C54" s="19" t="e">
        <f t="shared" si="0"/>
        <v>#N/A</v>
      </c>
      <c r="D54" s="18">
        <f>+CurvaEonia!C53</f>
        <v>54480</v>
      </c>
      <c r="E54" s="11">
        <f>+CurvaEonia!E53</f>
        <v>0.67565897500000005</v>
      </c>
      <c r="F54" s="11"/>
      <c r="H54" s="55"/>
      <c r="I54" s="11"/>
      <c r="K54" s="11"/>
    </row>
    <row r="55" spans="1:11" x14ac:dyDescent="0.25">
      <c r="A55" s="11"/>
      <c r="B55" s="11"/>
      <c r="C55" s="19" t="e">
        <f t="shared" si="0"/>
        <v>#N/A</v>
      </c>
      <c r="D55" s="18">
        <f>+CurvaEonia!C54</f>
        <v>54847</v>
      </c>
      <c r="E55" s="11">
        <f>+CurvaEonia!E54</f>
        <v>0.66717941700000005</v>
      </c>
      <c r="F55" s="11"/>
      <c r="H55" s="55"/>
      <c r="I55" s="11"/>
      <c r="K55" s="11"/>
    </row>
    <row r="56" spans="1:11" x14ac:dyDescent="0.25">
      <c r="A56" s="11"/>
      <c r="B56" s="11"/>
      <c r="C56" s="19" t="e">
        <f t="shared" si="0"/>
        <v>#N/A</v>
      </c>
      <c r="D56" s="18">
        <f>+CurvaEonia!C55</f>
        <v>55212</v>
      </c>
      <c r="E56" s="11">
        <f>+CurvaEonia!E55</f>
        <v>0.65881953500000001</v>
      </c>
      <c r="F56" s="11"/>
      <c r="H56" s="55"/>
      <c r="I56" s="11"/>
      <c r="K56" s="11"/>
    </row>
    <row r="57" spans="1:11" x14ac:dyDescent="0.25">
      <c r="A57" s="11"/>
      <c r="B57" s="11"/>
      <c r="C57" s="19" t="e">
        <f t="shared" si="0"/>
        <v>#N/A</v>
      </c>
      <c r="D57" s="18">
        <f>+CurvaEonia!C56</f>
        <v>55578</v>
      </c>
      <c r="E57" s="11">
        <f>+CurvaEonia!E56</f>
        <v>0.65051033199999997</v>
      </c>
      <c r="F57" s="11"/>
      <c r="H57" s="55"/>
      <c r="I57" s="11"/>
      <c r="K57" s="11"/>
    </row>
    <row r="58" spans="1:11" x14ac:dyDescent="0.25">
      <c r="A58" s="11"/>
      <c r="B58" s="11"/>
      <c r="C58" s="19" t="e">
        <f t="shared" si="0"/>
        <v>#N/A</v>
      </c>
      <c r="D58" s="18">
        <f>+CurvaEonia!C57</f>
        <v>55943</v>
      </c>
      <c r="E58" s="11">
        <f>+CurvaEonia!E57</f>
        <v>0.64229655799999996</v>
      </c>
      <c r="F58" s="11"/>
      <c r="H58" s="55"/>
      <c r="I58" s="11"/>
      <c r="K58" s="11"/>
    </row>
    <row r="59" spans="1:11" x14ac:dyDescent="0.25">
      <c r="A59" s="11"/>
      <c r="B59" s="11"/>
      <c r="C59" s="19" t="e">
        <f t="shared" si="0"/>
        <v>#N/A</v>
      </c>
      <c r="D59" s="18">
        <f>+CurvaEonia!C58</f>
        <v>56307</v>
      </c>
      <c r="E59" s="11">
        <f>+CurvaEonia!E58</f>
        <v>0.63417723199999998</v>
      </c>
      <c r="F59" s="11"/>
      <c r="H59" s="55"/>
      <c r="I59" s="11"/>
      <c r="K59" s="11"/>
    </row>
    <row r="60" spans="1:11" x14ac:dyDescent="0.25">
      <c r="A60" s="11"/>
      <c r="B60" s="11"/>
      <c r="C60" s="19" t="e">
        <f t="shared" si="0"/>
        <v>#N/A</v>
      </c>
      <c r="D60" s="18">
        <f>+CurvaEonia!C59</f>
        <v>56671</v>
      </c>
      <c r="E60" s="11">
        <f>+CurvaEonia!E59</f>
        <v>0.62612949600000001</v>
      </c>
      <c r="F60" s="11"/>
      <c r="H60" s="55"/>
      <c r="I60" s="11"/>
      <c r="K60" s="11"/>
    </row>
    <row r="61" spans="1:11" x14ac:dyDescent="0.25">
      <c r="A61" s="11"/>
      <c r="B61" s="11"/>
      <c r="C61" s="19" t="e">
        <f t="shared" si="0"/>
        <v>#N/A</v>
      </c>
      <c r="D61" s="18">
        <f>+CurvaEonia!C60</f>
        <v>57039</v>
      </c>
      <c r="E61" s="11">
        <f>+CurvaEonia!E60</f>
        <v>0.61806622499999997</v>
      </c>
      <c r="F61" s="11"/>
      <c r="H61" s="55"/>
      <c r="I61" s="11"/>
      <c r="K61" s="11"/>
    </row>
    <row r="62" spans="1:11" x14ac:dyDescent="0.25">
      <c r="A62" s="11"/>
      <c r="B62" s="11"/>
      <c r="C62" s="19" t="e">
        <f t="shared" si="0"/>
        <v>#N/A</v>
      </c>
      <c r="D62" s="18">
        <f>+CurvaEonia!C61</f>
        <v>57404</v>
      </c>
      <c r="E62" s="11">
        <f>+CurvaEonia!E61</f>
        <v>0.61013978800000002</v>
      </c>
      <c r="F62" s="11"/>
      <c r="H62" s="55"/>
      <c r="I62" s="11"/>
      <c r="K62" s="11"/>
    </row>
    <row r="63" spans="1:11" x14ac:dyDescent="0.25">
      <c r="A63" s="11"/>
      <c r="B63" s="11"/>
      <c r="C63" s="19" t="e">
        <f t="shared" si="0"/>
        <v>#N/A</v>
      </c>
      <c r="D63" s="18">
        <f>+CurvaEonia!C62</f>
        <v>57769</v>
      </c>
      <c r="E63" s="11">
        <f>+CurvaEonia!E62</f>
        <v>0.60414200699999998</v>
      </c>
      <c r="F63" s="11"/>
      <c r="H63" s="55"/>
      <c r="I63" s="11"/>
      <c r="K63" s="11"/>
    </row>
    <row r="64" spans="1:11" x14ac:dyDescent="0.25">
      <c r="A64" s="11"/>
      <c r="B64" s="11"/>
      <c r="C64" s="19" t="e">
        <f t="shared" si="0"/>
        <v>#N/A</v>
      </c>
      <c r="D64" s="18">
        <f>+CurvaEonia!C63</f>
        <v>58134</v>
      </c>
      <c r="E64" s="11">
        <f>+CurvaEonia!E63</f>
        <v>0.59825958300000004</v>
      </c>
      <c r="F64" s="11"/>
      <c r="H64" s="55"/>
      <c r="I64" s="11"/>
      <c r="K64" s="11"/>
    </row>
    <row r="65" spans="1:11" x14ac:dyDescent="0.25">
      <c r="A65" s="11"/>
      <c r="B65" s="11"/>
      <c r="C65" s="19" t="e">
        <f t="shared" si="0"/>
        <v>#N/A</v>
      </c>
      <c r="D65" s="18">
        <f>+CurvaEonia!C64</f>
        <v>58498</v>
      </c>
      <c r="E65" s="11">
        <f>+CurvaEonia!E64</f>
        <v>0.59250607099999997</v>
      </c>
      <c r="F65" s="11"/>
      <c r="H65" s="55"/>
      <c r="I65" s="11"/>
      <c r="K65" s="11"/>
    </row>
    <row r="66" spans="1:11" x14ac:dyDescent="0.25">
      <c r="A66" s="11"/>
      <c r="B66" s="11"/>
      <c r="C66" s="19" t="e">
        <f t="shared" si="0"/>
        <v>#N/A</v>
      </c>
      <c r="D66" s="18">
        <f>+CurvaEonia!C65</f>
        <v>58865</v>
      </c>
      <c r="E66" s="11">
        <f>+CurvaEonia!E65</f>
        <v>0.58681756100000004</v>
      </c>
      <c r="F66" s="11"/>
      <c r="H66" s="55"/>
      <c r="I66" s="11"/>
      <c r="K66" s="11"/>
    </row>
    <row r="67" spans="1:11" x14ac:dyDescent="0.25">
      <c r="A67" s="11"/>
      <c r="B67" s="11"/>
      <c r="C67" s="19" t="e">
        <f t="shared" si="0"/>
        <v>#N/A</v>
      </c>
      <c r="D67" s="18">
        <f>+CurvaEonia!C66</f>
        <v>59230</v>
      </c>
      <c r="E67" s="11">
        <f>+CurvaEonia!E66</f>
        <v>0.58126962199999999</v>
      </c>
      <c r="F67" s="11"/>
      <c r="H67" s="55"/>
      <c r="I67" s="11"/>
      <c r="K67" s="11"/>
    </row>
    <row r="68" spans="1:11" x14ac:dyDescent="0.25">
      <c r="A68" s="11"/>
      <c r="B68" s="11"/>
      <c r="C68" s="19" t="e">
        <f t="shared" ref="C68:C84" si="3">VLOOKUP(A68,$D$3:$E$82,2,FALSE)</f>
        <v>#N/A</v>
      </c>
      <c r="D68" s="18">
        <f>+CurvaEonia!C67</f>
        <v>59595</v>
      </c>
      <c r="E68" s="11">
        <f>+CurvaEonia!E67</f>
        <v>0.57582924499999999</v>
      </c>
      <c r="F68" s="11"/>
      <c r="H68" s="55"/>
      <c r="I68" s="11"/>
      <c r="K68" s="11"/>
    </row>
    <row r="69" spans="1:11" x14ac:dyDescent="0.25">
      <c r="A69" s="11"/>
      <c r="B69" s="11"/>
      <c r="C69" s="19" t="e">
        <f t="shared" si="3"/>
        <v>#N/A</v>
      </c>
      <c r="D69" s="18">
        <f>+CurvaEonia!C68</f>
        <v>59961</v>
      </c>
      <c r="E69" s="11">
        <f>+CurvaEonia!E68</f>
        <v>0.57048019000000005</v>
      </c>
      <c r="F69" s="11"/>
      <c r="H69" s="55"/>
      <c r="I69" s="11"/>
      <c r="K69" s="11"/>
    </row>
    <row r="70" spans="1:11" x14ac:dyDescent="0.25">
      <c r="A70" s="11"/>
      <c r="B70" s="11"/>
      <c r="C70" s="19" t="e">
        <f t="shared" si="3"/>
        <v>#N/A</v>
      </c>
      <c r="D70" s="18">
        <f>+CurvaEonia!C69</f>
        <v>60325</v>
      </c>
      <c r="E70" s="11">
        <f>+CurvaEonia!E69</f>
        <v>0.56526380899999995</v>
      </c>
      <c r="F70" s="11"/>
      <c r="H70" s="55"/>
      <c r="I70" s="11"/>
      <c r="K70" s="11"/>
    </row>
    <row r="71" spans="1:11" x14ac:dyDescent="0.25">
      <c r="A71" s="11"/>
      <c r="B71" s="11"/>
      <c r="C71" s="19" t="e">
        <f t="shared" si="3"/>
        <v>#N/A</v>
      </c>
      <c r="D71" s="18">
        <f>+CurvaEonia!C70</f>
        <v>60689</v>
      </c>
      <c r="E71" s="11">
        <f>+CurvaEonia!E70</f>
        <v>0.56014898999999996</v>
      </c>
      <c r="F71" s="11"/>
      <c r="H71" s="55"/>
      <c r="I71" s="11"/>
      <c r="K71" s="11"/>
    </row>
    <row r="72" spans="1:11" x14ac:dyDescent="0.25">
      <c r="A72" s="11"/>
      <c r="B72" s="11"/>
      <c r="C72" s="19" t="e">
        <f t="shared" si="3"/>
        <v>#N/A</v>
      </c>
      <c r="D72" s="18">
        <f>+CurvaEonia!C71</f>
        <v>61056</v>
      </c>
      <c r="E72" s="11">
        <f>+CurvaEonia!E71</f>
        <v>0.55509332099999997</v>
      </c>
      <c r="F72" s="11"/>
      <c r="H72" s="55"/>
      <c r="I72" s="11"/>
      <c r="K72" s="11"/>
    </row>
    <row r="73" spans="1:11" x14ac:dyDescent="0.25">
      <c r="A73" s="11"/>
      <c r="B73" s="11"/>
      <c r="C73" s="19" t="e">
        <f t="shared" si="3"/>
        <v>#N/A</v>
      </c>
      <c r="D73" s="18">
        <f>+CurvaEonia!C72</f>
        <v>61422</v>
      </c>
      <c r="E73" s="11">
        <f>+CurvaEonia!E72</f>
        <v>0.54972143100000004</v>
      </c>
      <c r="F73" s="11"/>
      <c r="H73" s="55"/>
      <c r="I73" s="11"/>
      <c r="K73" s="11"/>
    </row>
    <row r="74" spans="1:11" x14ac:dyDescent="0.25">
      <c r="A74" s="11"/>
      <c r="B74" s="11"/>
      <c r="C74" s="19" t="e">
        <f t="shared" si="3"/>
        <v>#N/A</v>
      </c>
      <c r="D74" s="18">
        <f>+CurvaEonia!C73</f>
        <v>61787</v>
      </c>
      <c r="E74" s="11">
        <f>+CurvaEonia!E73</f>
        <v>0.54445410299999997</v>
      </c>
      <c r="F74" s="11"/>
      <c r="H74" s="55"/>
      <c r="I74" s="11"/>
      <c r="K74" s="11"/>
    </row>
    <row r="75" spans="1:11" x14ac:dyDescent="0.25">
      <c r="A75" s="11"/>
      <c r="B75" s="11"/>
      <c r="C75" s="19" t="e">
        <f t="shared" si="3"/>
        <v>#N/A</v>
      </c>
      <c r="D75" s="18">
        <f>+CurvaEonia!C74</f>
        <v>62152</v>
      </c>
      <c r="E75" s="11">
        <f>+CurvaEonia!E74</f>
        <v>0.53927518500000005</v>
      </c>
      <c r="F75" s="11"/>
      <c r="H75" s="55"/>
      <c r="I75" s="11"/>
      <c r="K75" s="11"/>
    </row>
    <row r="76" spans="1:11" x14ac:dyDescent="0.25">
      <c r="A76" s="11"/>
      <c r="B76" s="11"/>
      <c r="C76" s="19" t="e">
        <f t="shared" si="3"/>
        <v>#N/A</v>
      </c>
      <c r="D76" s="18">
        <f>+CurvaEonia!C75</f>
        <v>62516</v>
      </c>
      <c r="E76" s="11">
        <f>+CurvaEonia!E75</f>
        <v>0.53419701900000005</v>
      </c>
      <c r="F76" s="11"/>
      <c r="H76" s="55"/>
      <c r="I76" s="11"/>
      <c r="K76" s="11"/>
    </row>
    <row r="77" spans="1:11" x14ac:dyDescent="0.25">
      <c r="A77" s="11"/>
      <c r="B77" s="11"/>
      <c r="C77" s="19" t="e">
        <f t="shared" si="3"/>
        <v>#N/A</v>
      </c>
      <c r="D77" s="18">
        <f>+CurvaEonia!C76</f>
        <v>62883</v>
      </c>
      <c r="E77" s="11">
        <f>+CurvaEonia!E76</f>
        <v>0.52916343799999999</v>
      </c>
      <c r="F77" s="11"/>
      <c r="H77" s="55"/>
      <c r="I77" s="11"/>
      <c r="K77" s="11"/>
    </row>
    <row r="78" spans="1:11" x14ac:dyDescent="0.25">
      <c r="A78" s="11"/>
      <c r="B78" s="11"/>
      <c r="C78" s="19" t="e">
        <f t="shared" si="3"/>
        <v>#N/A</v>
      </c>
      <c r="D78" s="18">
        <f>+CurvaEonia!C77</f>
        <v>63248</v>
      </c>
      <c r="E78" s="11">
        <f>+CurvaEonia!E77</f>
        <v>0.52424161400000002</v>
      </c>
      <c r="F78" s="11"/>
      <c r="H78" s="55"/>
      <c r="I78" s="11"/>
      <c r="K78" s="11"/>
    </row>
    <row r="79" spans="1:11" x14ac:dyDescent="0.25">
      <c r="A79" s="11"/>
      <c r="B79" s="11"/>
      <c r="C79" s="19" t="e">
        <f t="shared" si="3"/>
        <v>#N/A</v>
      </c>
      <c r="D79" s="18">
        <f>+CurvaEonia!C78</f>
        <v>63613</v>
      </c>
      <c r="E79" s="11">
        <f>+CurvaEonia!E78</f>
        <v>0.51940270300000002</v>
      </c>
      <c r="F79" s="11"/>
      <c r="H79" s="55"/>
      <c r="I79" s="11"/>
      <c r="K79" s="11"/>
    </row>
    <row r="80" spans="1:11" x14ac:dyDescent="0.25">
      <c r="A80" s="11"/>
      <c r="B80" s="11"/>
      <c r="C80" s="19" t="e">
        <f t="shared" si="3"/>
        <v>#N/A</v>
      </c>
      <c r="D80" s="18">
        <f>+CurvaEonia!C79</f>
        <v>63978</v>
      </c>
      <c r="E80" s="11">
        <f>+CurvaEonia!E79</f>
        <v>0.51464539300000001</v>
      </c>
      <c r="F80" s="11"/>
      <c r="H80" s="55"/>
      <c r="I80" s="11"/>
      <c r="K80" s="11"/>
    </row>
    <row r="81" spans="1:11" x14ac:dyDescent="0.25">
      <c r="A81" s="11"/>
      <c r="B81" s="11"/>
      <c r="C81" s="19" t="e">
        <f t="shared" si="3"/>
        <v>#N/A</v>
      </c>
      <c r="D81" s="18">
        <f>+CurvaEonia!C80</f>
        <v>64343</v>
      </c>
      <c r="E81" s="11">
        <f>+CurvaEonia!E80</f>
        <v>0.50996839400000005</v>
      </c>
      <c r="F81" s="11"/>
      <c r="H81" s="55"/>
      <c r="I81" s="11"/>
      <c r="K81" s="11"/>
    </row>
    <row r="82" spans="1:11" x14ac:dyDescent="0.25">
      <c r="A82" s="11"/>
      <c r="B82" s="11"/>
      <c r="C82" s="19" t="e">
        <f t="shared" si="3"/>
        <v>#N/A</v>
      </c>
      <c r="D82" s="18">
        <f>+CurvaEonia!C81</f>
        <v>64707</v>
      </c>
      <c r="E82" s="11">
        <f>+CurvaEonia!E81</f>
        <v>0.50538285999999999</v>
      </c>
      <c r="F82" s="11"/>
      <c r="H82" s="55"/>
      <c r="I82" s="11"/>
      <c r="K82" s="11"/>
    </row>
    <row r="83" spans="1:11" x14ac:dyDescent="0.25">
      <c r="A83" s="11"/>
      <c r="B83" s="11"/>
      <c r="C83" s="19" t="e">
        <f t="shared" si="3"/>
        <v>#N/A</v>
      </c>
      <c r="D83" s="18">
        <f>+CurvaEonia!C82</f>
        <v>0</v>
      </c>
      <c r="E83" s="11">
        <f>+CurvaEonia!E82</f>
        <v>0</v>
      </c>
      <c r="F83" s="11"/>
      <c r="H83" s="55"/>
      <c r="I83" s="11"/>
      <c r="K83" s="11"/>
    </row>
    <row r="84" spans="1:11" x14ac:dyDescent="0.25">
      <c r="A84" s="11"/>
      <c r="B84" s="11"/>
      <c r="C84" s="19" t="e">
        <f t="shared" si="3"/>
        <v>#N/A</v>
      </c>
      <c r="D84" s="18">
        <f>+CurvaEonia!C83</f>
        <v>0</v>
      </c>
      <c r="E84" s="11">
        <f>+CurvaEonia!E83</f>
        <v>0</v>
      </c>
      <c r="F84" s="11"/>
      <c r="H84" s="55"/>
      <c r="I84" s="11"/>
      <c r="K84" s="11"/>
    </row>
  </sheetData>
  <mergeCells count="2">
    <mergeCell ref="A1:E1"/>
    <mergeCell ref="F1:J1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6"/>
  <sheetViews>
    <sheetView workbookViewId="0">
      <selection activeCell="B3" sqref="B3"/>
    </sheetView>
  </sheetViews>
  <sheetFormatPr defaultColWidth="37" defaultRowHeight="15" x14ac:dyDescent="0.25"/>
  <cols>
    <col min="4" max="4" width="51.140625" bestFit="1" customWidth="1"/>
    <col min="6" max="7" width="12" style="23" bestFit="1" customWidth="1"/>
  </cols>
  <sheetData>
    <row r="1" spans="1:18" ht="15.75" thickBot="1" x14ac:dyDescent="0.3">
      <c r="A1" s="41" t="s">
        <v>297</v>
      </c>
      <c r="B1" s="11" t="s">
        <v>302</v>
      </c>
      <c r="C1" s="22" t="s">
        <v>303</v>
      </c>
      <c r="D1" t="s">
        <v>308</v>
      </c>
      <c r="E1" s="22" t="s">
        <v>303</v>
      </c>
      <c r="F1" s="25" t="s">
        <v>322</v>
      </c>
      <c r="G1" s="25" t="s">
        <v>323</v>
      </c>
      <c r="H1" s="21" t="s">
        <v>321</v>
      </c>
      <c r="J1" s="40" t="s">
        <v>325</v>
      </c>
      <c r="K1" s="40" t="s">
        <v>327</v>
      </c>
      <c r="L1" s="40" t="s">
        <v>332</v>
      </c>
      <c r="M1" s="13" t="s">
        <v>277</v>
      </c>
    </row>
    <row r="2" spans="1:18" ht="16.5" x14ac:dyDescent="0.3">
      <c r="A2" s="18">
        <f>+'9.Curve'!A3</f>
        <v>42794</v>
      </c>
      <c r="B2" s="42">
        <f>_xll.qlYieldTSZeroRate('8.Piecewise_YieldCurve_EONIA'!$D$2,'10.CurvaEonia'!A2,'10.CurvaEonia'!$I$3,'10.CurvaEonia'!$I$4,'10.CurvaEonia'!$I$5)</f>
        <v>-4.2000490013165423E-3</v>
      </c>
      <c r="C2" s="15" t="str">
        <f>_xll.ohRangeRetrieveError(B2)</f>
        <v/>
      </c>
      <c r="D2">
        <f t="array" ref="D2:D39">_xll.qlYieldTSDiscount('8.Piecewise_YieldCurve_EONIA'!D2,'10.CurvaEonia'!A2:A39)</f>
        <v>1</v>
      </c>
      <c r="E2" s="15" t="str">
        <f>_xll.ohRangeRetrieveError(D2)</f>
        <v/>
      </c>
      <c r="F2" s="24"/>
      <c r="G2" s="31"/>
      <c r="H2" s="32" t="s">
        <v>298</v>
      </c>
      <c r="I2" s="35" t="s">
        <v>157</v>
      </c>
      <c r="J2" s="18">
        <f>+A2</f>
        <v>42794</v>
      </c>
      <c r="K2" s="18">
        <f>DATE(YEAR(J2),MONTH(J2)+6,DAY(J2))</f>
        <v>42975</v>
      </c>
      <c r="L2" s="39">
        <f>_xll.qlYieldTSForwardRate('8.Piecewise_YieldCurve_EONIA'!$D$2,'10.CurvaEonia'!J2,'10.CurvaEonia'!K2,'10.CurvaEonia'!$I$3,'10.CurvaEonia'!$I$7,'10.CurvaEonia'!$I$5)</f>
        <v>-3.5300080448421025E-3</v>
      </c>
      <c r="M2" t="s">
        <v>217</v>
      </c>
      <c r="R2">
        <v>6</v>
      </c>
    </row>
    <row r="3" spans="1:18" ht="16.5" x14ac:dyDescent="0.3">
      <c r="A3" s="18">
        <f>+'9.Curve'!A4</f>
        <v>42796</v>
      </c>
      <c r="B3" s="42">
        <f>_xll.qlYieldTSZeroRate('8.Piecewise_YieldCurve_EONIA'!$D$2,'10.CurvaEonia'!A3,'10.CurvaEonia'!$I$3,'10.CurvaEonia'!$I$4,'10.CurvaEonia'!$I$5)</f>
        <v>-4.2000490007497822E-3</v>
      </c>
      <c r="C3" s="15" t="str">
        <f>_xll.ohRangeRetrieveError(B3)</f>
        <v/>
      </c>
      <c r="D3">
        <v>1.0000233338777904</v>
      </c>
      <c r="E3" s="15" t="str">
        <f>_xll.ohRangeRetrieveError(D3)</f>
        <v/>
      </c>
      <c r="F3" s="24">
        <f>YEARFRAC($I$6,A3,2)</f>
        <v>5.5555555555555558E-3</v>
      </c>
      <c r="G3" s="31">
        <f>EXP(-F3*B3)</f>
        <v>1.0000233338777904</v>
      </c>
      <c r="H3" s="33" t="s">
        <v>299</v>
      </c>
      <c r="I3" s="36" t="s">
        <v>159</v>
      </c>
      <c r="J3" s="18">
        <f>+K2</f>
        <v>42975</v>
      </c>
      <c r="K3" s="18">
        <f t="shared" ref="K3:K66" si="0">DATE(YEAR(J3),MONTH(J3)+6,DAY(J3))</f>
        <v>43159</v>
      </c>
      <c r="L3" s="39">
        <f>_xll.qlYieldTSForwardRate('8.Piecewise_YieldCurve_EONIA'!$D$2,'10.CurvaEonia'!J3,'10.CurvaEonia'!K3,'10.CurvaEonia'!$I$3,'10.CurvaEonia'!$I$7,'10.CurvaEonia'!$I$5)</f>
        <v>-3.556140515210669E-3</v>
      </c>
      <c r="M3" t="s">
        <v>278</v>
      </c>
    </row>
    <row r="4" spans="1:18" ht="16.5" x14ac:dyDescent="0.3">
      <c r="A4" s="18">
        <f>+'9.Curve'!A5</f>
        <v>42801</v>
      </c>
      <c r="B4" s="42">
        <f>_xll.qlYieldTSZeroRate('8.Piecewise_YieldCurve_EONIA'!$D$2,'10.CurvaEonia'!A4,'10.CurvaEonia'!$I$3,'10.CurvaEonia'!$I$4,'10.CurvaEonia'!$I$5)</f>
        <v>-3.5201204659994875E-3</v>
      </c>
      <c r="C4" s="15" t="str">
        <f>_xll.ohRangeRetrieveError(B4)</f>
        <v/>
      </c>
      <c r="D4">
        <v>1.0000684491293736</v>
      </c>
      <c r="E4" s="15" t="str">
        <f>_xll.ohRangeRetrieveError(D4)</f>
        <v/>
      </c>
      <c r="F4" s="24">
        <f t="shared" ref="F4:F67" si="1">YEARFRAC($I$6,A4,2)</f>
        <v>1.9444444444444445E-2</v>
      </c>
      <c r="G4" s="31">
        <f t="shared" ref="G4:G67" si="2">EXP(-F4*B4)</f>
        <v>1.0000684491293736</v>
      </c>
      <c r="H4" s="33" t="s">
        <v>290</v>
      </c>
      <c r="I4" s="36" t="s">
        <v>300</v>
      </c>
      <c r="J4" s="18">
        <f t="shared" ref="J4:J67" si="3">+K3</f>
        <v>43159</v>
      </c>
      <c r="K4" s="18">
        <f t="shared" si="0"/>
        <v>43340</v>
      </c>
      <c r="L4" s="39">
        <f>_xll.qlYieldTSForwardRate('8.Piecewise_YieldCurve_EONIA'!$D$2,'10.CurvaEonia'!J4,'10.CurvaEonia'!K4,'10.CurvaEonia'!$I$3,'10.CurvaEonia'!$I$7,'10.CurvaEonia'!$I$5)</f>
        <v>-3.3613680113832641E-3</v>
      </c>
      <c r="M4" t="s">
        <v>109</v>
      </c>
    </row>
    <row r="5" spans="1:18" ht="16.5" x14ac:dyDescent="0.3">
      <c r="A5" s="18">
        <f>+'9.Curve'!A6</f>
        <v>42808</v>
      </c>
      <c r="B5" s="42">
        <f>_xll.qlYieldTSZeroRate('8.Piecewise_YieldCurve_EONIA'!$D$2,'10.CurvaEonia'!A5,'10.CurvaEonia'!$I$3,'10.CurvaEonia'!$I$4,'10.CurvaEonia'!$I$5)</f>
        <v>-3.5302423175302316E-3</v>
      </c>
      <c r="C5" s="15" t="str">
        <f>_xll.ohRangeRetrieveError(B5)</f>
        <v/>
      </c>
      <c r="D5">
        <v>1.0001372966255564</v>
      </c>
      <c r="E5" s="15" t="str">
        <f>_xll.ohRangeRetrieveError(D5)</f>
        <v/>
      </c>
      <c r="F5" s="24">
        <f t="shared" si="1"/>
        <v>3.888888888888889E-2</v>
      </c>
      <c r="G5" s="31">
        <f t="shared" si="2"/>
        <v>1.0001372966255564</v>
      </c>
      <c r="H5" s="33" t="s">
        <v>292</v>
      </c>
      <c r="I5" s="36" t="s">
        <v>301</v>
      </c>
      <c r="J5" s="18">
        <f t="shared" si="3"/>
        <v>43340</v>
      </c>
      <c r="K5" s="18">
        <f t="shared" si="0"/>
        <v>43524</v>
      </c>
      <c r="L5" s="39">
        <f>_xll.qlYieldTSForwardRate('8.Piecewise_YieldCurve_EONIA'!$D$2,'10.CurvaEonia'!J5,'10.CurvaEonia'!K5,'10.CurvaEonia'!$I$3,'10.CurvaEonia'!$I$7,'10.CurvaEonia'!$I$5)</f>
        <v>-3.0475076480847118E-3</v>
      </c>
      <c r="M5" t="s">
        <v>279</v>
      </c>
    </row>
    <row r="6" spans="1:18" ht="16.5" x14ac:dyDescent="0.3">
      <c r="A6" s="18">
        <f>+'9.Curve'!A7</f>
        <v>42815</v>
      </c>
      <c r="B6" s="42">
        <f>_xll.qlYieldTSZeroRate('8.Piecewise_YieldCurve_EONIA'!$D$2,'10.CurvaEonia'!A6,'10.CurvaEonia'!$I$3,'10.CurvaEonia'!$I$4,'10.CurvaEonia'!$I$5)</f>
        <v>-3.5403655554417423E-3</v>
      </c>
      <c r="C6" s="15" t="str">
        <f>_xll.ohRangeRetrieveError(B6)</f>
        <v/>
      </c>
      <c r="D6">
        <v>1.0002065426510642</v>
      </c>
      <c r="E6" s="15" t="str">
        <f>_xll.ohRangeRetrieveError(D6)</f>
        <v/>
      </c>
      <c r="F6" s="24">
        <f t="shared" si="1"/>
        <v>5.8333333333333334E-2</v>
      </c>
      <c r="G6" s="31">
        <f t="shared" si="2"/>
        <v>1.0002065426510642</v>
      </c>
      <c r="H6" s="33" t="s">
        <v>320</v>
      </c>
      <c r="I6" s="37">
        <f>+'9.Curve'!A3</f>
        <v>42794</v>
      </c>
      <c r="J6" s="18">
        <f t="shared" si="3"/>
        <v>43524</v>
      </c>
      <c r="K6" s="18">
        <f t="shared" si="0"/>
        <v>43705</v>
      </c>
      <c r="L6" s="39">
        <f>_xll.qlYieldTSForwardRate('8.Piecewise_YieldCurve_EONIA'!$D$2,'10.CurvaEonia'!J6,'10.CurvaEonia'!K6,'10.CurvaEonia'!$I$3,'10.CurvaEonia'!$I$7,'10.CurvaEonia'!$I$5)</f>
        <v>-2.2042465954148212E-3</v>
      </c>
      <c r="M6" t="s">
        <v>280</v>
      </c>
    </row>
    <row r="7" spans="1:18" ht="17.25" thickBot="1" x14ac:dyDescent="0.35">
      <c r="A7" s="18">
        <f>+'9.Curve'!A8</f>
        <v>42825</v>
      </c>
      <c r="B7" s="42">
        <f>_xll.qlYieldTSZeroRate('8.Piecewise_YieldCurve_EONIA'!$D$2,'10.CurvaEonia'!A7,'10.CurvaEonia'!$I$3,'10.CurvaEonia'!$I$4,'10.CurvaEonia'!$I$5)</f>
        <v>-3.5405396646743673E-3</v>
      </c>
      <c r="C7" s="15" t="str">
        <f>_xll.ohRangeRetrieveError(B7)</f>
        <v/>
      </c>
      <c r="D7">
        <v>1.0003049262850292</v>
      </c>
      <c r="E7" s="15" t="str">
        <f>_xll.ohRangeRetrieveError(D7)</f>
        <v/>
      </c>
      <c r="F7" s="24">
        <f t="shared" si="1"/>
        <v>8.611111111111111E-2</v>
      </c>
      <c r="G7" s="31">
        <f t="shared" si="2"/>
        <v>1.0003049262850292</v>
      </c>
      <c r="H7" s="34" t="s">
        <v>331</v>
      </c>
      <c r="I7" s="38" t="s">
        <v>22</v>
      </c>
      <c r="J7" s="18">
        <f t="shared" si="3"/>
        <v>43705</v>
      </c>
      <c r="K7" s="18">
        <f t="shared" si="0"/>
        <v>43889</v>
      </c>
      <c r="L7" s="39">
        <f>_xll.qlYieldTSForwardRate('8.Piecewise_YieldCurve_EONIA'!$D$2,'10.CurvaEonia'!J7,'10.CurvaEonia'!K7,'10.CurvaEonia'!$I$3,'10.CurvaEonia'!$I$7,'10.CurvaEonia'!$I$5)</f>
        <v>-2.2042263434604945E-3</v>
      </c>
      <c r="M7" t="s">
        <v>281</v>
      </c>
    </row>
    <row r="8" spans="1:18" x14ac:dyDescent="0.25">
      <c r="A8" s="18">
        <f>+'9.Curve'!A9</f>
        <v>42853</v>
      </c>
      <c r="B8" s="42">
        <f>_xll.qlYieldTSZeroRate('8.Piecewise_YieldCurve_EONIA'!$D$2,'10.CurvaEonia'!A8,'10.CurvaEonia'!$I$3,'10.CurvaEonia'!$I$4,'10.CurvaEonia'!$I$5)</f>
        <v>-3.5310214954384434E-3</v>
      </c>
      <c r="C8" s="15" t="str">
        <f>_xll.ohRangeRetrieveError(B8)</f>
        <v/>
      </c>
      <c r="D8">
        <v>1.0005788626658958</v>
      </c>
      <c r="E8" s="15" t="str">
        <f>_xll.ohRangeRetrieveError(D8)</f>
        <v/>
      </c>
      <c r="F8" s="24">
        <f t="shared" si="1"/>
        <v>0.16388888888888889</v>
      </c>
      <c r="G8" s="24">
        <f t="shared" si="2"/>
        <v>1.0005788626658958</v>
      </c>
      <c r="J8" s="18">
        <f t="shared" si="3"/>
        <v>43889</v>
      </c>
      <c r="K8" s="18">
        <f t="shared" si="0"/>
        <v>44071</v>
      </c>
      <c r="L8" s="39">
        <f>_xll.qlYieldTSForwardRate('8.Piecewise_YieldCurve_EONIA'!$D$2,'10.CurvaEonia'!J8,'10.CurvaEonia'!K8,'10.CurvaEonia'!$I$3,'10.CurvaEonia'!$I$7,'10.CurvaEonia'!$I$5)</f>
        <v>-5.0068534170622447E-4</v>
      </c>
      <c r="M8" t="s">
        <v>282</v>
      </c>
    </row>
    <row r="9" spans="1:18" x14ac:dyDescent="0.25">
      <c r="A9" s="18">
        <f>+'9.Curve'!A10</f>
        <v>42886</v>
      </c>
      <c r="B9" s="42">
        <f>_xll.qlYieldTSZeroRate('8.Piecewise_YieldCurve_EONIA'!$D$2,'10.CurvaEonia'!A9,'10.CurvaEonia'!$I$3,'10.CurvaEonia'!$I$4,'10.CurvaEonia'!$I$5)</f>
        <v>-3.5315931843444867E-3</v>
      </c>
      <c r="C9" s="15" t="str">
        <f>_xll.ohRangeRetrieveError(B9)</f>
        <v/>
      </c>
      <c r="D9">
        <v>1.000902925650375</v>
      </c>
      <c r="E9" s="15" t="str">
        <f>_xll.ohRangeRetrieveError(D9)</f>
        <v/>
      </c>
      <c r="F9" s="24">
        <f t="shared" si="1"/>
        <v>0.25555555555555554</v>
      </c>
      <c r="G9" s="24">
        <f t="shared" si="2"/>
        <v>1.000902925650375</v>
      </c>
      <c r="J9" s="18">
        <f t="shared" si="3"/>
        <v>44071</v>
      </c>
      <c r="K9" s="18">
        <f t="shared" si="0"/>
        <v>44255</v>
      </c>
      <c r="L9" s="39">
        <f>_xll.qlYieldTSForwardRate('8.Piecewise_YieldCurve_EONIA'!$D$2,'10.CurvaEonia'!J9,'10.CurvaEonia'!K9,'10.CurvaEonia'!$I$3,'10.CurvaEonia'!$I$7,'10.CurvaEonia'!$I$5)</f>
        <v>-4.7442413062918611E-4</v>
      </c>
      <c r="M9" t="s">
        <v>283</v>
      </c>
    </row>
    <row r="10" spans="1:18" x14ac:dyDescent="0.25">
      <c r="A10" s="18">
        <f>+'9.Curve'!A11</f>
        <v>42916</v>
      </c>
      <c r="B10" s="42">
        <f>_xll.qlYieldTSZeroRate('8.Piecewise_YieldCurve_EONIA'!$D$2,'10.CurvaEonia'!A10,'10.CurvaEonia'!$I$3,'10.CurvaEonia'!$I$4,'10.CurvaEonia'!$I$5)</f>
        <v>-3.5421251097854049E-3</v>
      </c>
      <c r="C10" s="15" t="str">
        <f>_xll.ohRangeRetrieveError(B10)</f>
        <v/>
      </c>
      <c r="D10">
        <v>1.0012011075954119</v>
      </c>
      <c r="E10" s="15" t="str">
        <f>_xll.ohRangeRetrieveError(D10)</f>
        <v/>
      </c>
      <c r="F10" s="24">
        <f t="shared" si="1"/>
        <v>0.33888888888888891</v>
      </c>
      <c r="G10" s="24">
        <f t="shared" si="2"/>
        <v>1.0012011075954119</v>
      </c>
      <c r="J10" s="18">
        <f t="shared" si="3"/>
        <v>44255</v>
      </c>
      <c r="K10" s="18">
        <f t="shared" si="0"/>
        <v>44436</v>
      </c>
      <c r="L10" s="39">
        <f>_xll.qlYieldTSForwardRate('8.Piecewise_YieldCurve_EONIA'!$D$2,'10.CurvaEonia'!J10,'10.CurvaEonia'!K10,'10.CurvaEonia'!$I$3,'10.CurvaEonia'!$I$7,'10.CurvaEonia'!$I$5)</f>
        <v>1.9167438115843833E-3</v>
      </c>
      <c r="M10" t="s">
        <v>226</v>
      </c>
    </row>
    <row r="11" spans="1:18" x14ac:dyDescent="0.25">
      <c r="A11" s="18">
        <f>+'9.Curve'!A12</f>
        <v>42947</v>
      </c>
      <c r="B11" s="42">
        <f>_xll.qlYieldTSZeroRate('8.Piecewise_YieldCurve_EONIA'!$D$2,'10.CurvaEonia'!A11,'10.CurvaEonia'!$I$3,'10.CurvaEonia'!$I$4,'10.CurvaEonia'!$I$5)</f>
        <v>-3.5326505923546766E-3</v>
      </c>
      <c r="C11" s="15" t="str">
        <f>_xll.ohRangeRetrieveError(B11)</f>
        <v/>
      </c>
      <c r="D11">
        <v>1.0015025041317125</v>
      </c>
      <c r="E11" s="15" t="str">
        <f>_xll.ohRangeRetrieveError(D11)</f>
        <v/>
      </c>
      <c r="F11" s="24">
        <f t="shared" si="1"/>
        <v>0.42499999999999999</v>
      </c>
      <c r="G11" s="24">
        <f t="shared" si="2"/>
        <v>1.0015025041317125</v>
      </c>
      <c r="J11" s="18">
        <f t="shared" si="3"/>
        <v>44436</v>
      </c>
      <c r="K11" s="18">
        <f t="shared" si="0"/>
        <v>44620</v>
      </c>
      <c r="L11" s="39">
        <f>_xll.qlYieldTSForwardRate('8.Piecewise_YieldCurve_EONIA'!$D$2,'10.CurvaEonia'!J11,'10.CurvaEonia'!K11,'10.CurvaEonia'!$I$3,'10.CurvaEonia'!$I$7,'10.CurvaEonia'!$I$5)</f>
        <v>1.916759114696291E-3</v>
      </c>
    </row>
    <row r="12" spans="1:18" x14ac:dyDescent="0.25">
      <c r="A12" s="18">
        <f>+'9.Curve'!A13</f>
        <v>42978</v>
      </c>
      <c r="B12" s="42">
        <f>_xll.qlYieldTSZeroRate('8.Piecewise_YieldCurve_EONIA'!$D$2,'10.CurvaEonia'!A12,'10.CurvaEonia'!$I$3,'10.CurvaEonia'!$I$4,'10.CurvaEonia'!$I$5)</f>
        <v>-3.5331882877325297E-3</v>
      </c>
      <c r="C12" s="15" t="str">
        <f>_xll.ohRangeRetrieveError(B12)</f>
        <v/>
      </c>
      <c r="D12">
        <v>1.0018074833238082</v>
      </c>
      <c r="E12" s="15" t="str">
        <f>_xll.ohRangeRetrieveError(D12)</f>
        <v/>
      </c>
      <c r="F12" s="24">
        <f t="shared" si="1"/>
        <v>0.51111111111111107</v>
      </c>
      <c r="G12" s="24">
        <f t="shared" si="2"/>
        <v>1.0018074833238082</v>
      </c>
      <c r="J12" s="18">
        <f t="shared" si="3"/>
        <v>44620</v>
      </c>
      <c r="K12" s="18">
        <f t="shared" si="0"/>
        <v>44801</v>
      </c>
      <c r="L12" s="39">
        <f>_xll.qlYieldTSForwardRate('8.Piecewise_YieldCurve_EONIA'!$D$2,'10.CurvaEonia'!J12,'10.CurvaEonia'!K12,'10.CurvaEonia'!$I$3,'10.CurvaEonia'!$I$7,'10.CurvaEonia'!$I$5)</f>
        <v>4.8815770763723405E-3</v>
      </c>
      <c r="M12" t="s">
        <v>114</v>
      </c>
    </row>
    <row r="13" spans="1:18" x14ac:dyDescent="0.25">
      <c r="A13" s="18">
        <f>+'9.Curve'!A14</f>
        <v>43007</v>
      </c>
      <c r="B13" s="42">
        <f>_xll.qlYieldTSZeroRate('8.Piecewise_YieldCurve_EONIA'!$D$2,'10.CurvaEonia'!A13,'10.CurvaEonia'!$I$3,'10.CurvaEonia'!$I$4,'10.CurvaEonia'!$I$5)</f>
        <v>-3.5437124497229113E-3</v>
      </c>
      <c r="C13" s="15" t="str">
        <f>_xll.ohRangeRetrieveError(B13)</f>
        <v/>
      </c>
      <c r="D13">
        <v>1.0020988961379609</v>
      </c>
      <c r="E13" s="15" t="str">
        <f>_xll.ohRangeRetrieveError(D13)</f>
        <v/>
      </c>
      <c r="F13" s="24">
        <f t="shared" si="1"/>
        <v>0.59166666666666667</v>
      </c>
      <c r="G13" s="24">
        <f t="shared" si="2"/>
        <v>1.0020988961379609</v>
      </c>
      <c r="J13" s="18">
        <f t="shared" si="3"/>
        <v>44801</v>
      </c>
      <c r="K13" s="18">
        <f t="shared" si="0"/>
        <v>44985</v>
      </c>
      <c r="L13" s="39">
        <f>_xll.qlYieldTSForwardRate('8.Piecewise_YieldCurve_EONIA'!$D$2,'10.CurvaEonia'!J13,'10.CurvaEonia'!K13,'10.CurvaEonia'!$I$3,'10.CurvaEonia'!$I$7,'10.CurvaEonia'!$I$5)</f>
        <v>4.8816762873961908E-3</v>
      </c>
    </row>
    <row r="14" spans="1:18" x14ac:dyDescent="0.25">
      <c r="A14" s="18">
        <f>+'9.Curve'!A15</f>
        <v>43039</v>
      </c>
      <c r="B14" s="42">
        <f>_xll.qlYieldTSZeroRate('8.Piecewise_YieldCurve_EONIA'!$D$2,'10.CurvaEonia'!A14,'10.CurvaEonia'!$I$3,'10.CurvaEonia'!$I$4,'10.CurvaEonia'!$I$5)</f>
        <v>-3.5442710862376614E-3</v>
      </c>
      <c r="C14" s="15" t="str">
        <f>_xll.ohRangeRetrieveError(B14)</f>
        <v/>
      </c>
      <c r="D14">
        <v>1.0024149847674824</v>
      </c>
      <c r="E14" s="15" t="str">
        <f>_xll.ohRangeRetrieveError(D14)</f>
        <v/>
      </c>
      <c r="F14" s="24">
        <f t="shared" si="1"/>
        <v>0.68055555555555558</v>
      </c>
      <c r="G14" s="24">
        <f t="shared" si="2"/>
        <v>1.0024149847674824</v>
      </c>
      <c r="J14" s="18">
        <f t="shared" si="3"/>
        <v>44985</v>
      </c>
      <c r="K14" s="18">
        <f t="shared" si="0"/>
        <v>45166</v>
      </c>
      <c r="L14" s="39">
        <f>_xll.qlYieldTSForwardRate('8.Piecewise_YieldCurve_EONIA'!$D$2,'10.CurvaEonia'!J14,'10.CurvaEonia'!K14,'10.CurvaEonia'!$I$3,'10.CurvaEonia'!$I$7,'10.CurvaEonia'!$I$5)</f>
        <v>8.013938365527256E-3</v>
      </c>
      <c r="M14" t="s">
        <v>284</v>
      </c>
    </row>
    <row r="15" spans="1:18" x14ac:dyDescent="0.25">
      <c r="A15" s="18">
        <f>+'9.Curve'!A16</f>
        <v>43069</v>
      </c>
      <c r="B15" s="42">
        <f>_xll.qlYieldTSZeroRate('8.Piecewise_YieldCurve_EONIA'!$D$2,'10.CurvaEonia'!A15,'10.CurvaEonia'!$I$3,'10.CurvaEonia'!$I$4,'10.CurvaEonia'!$I$5)</f>
        <v>-3.5447950213268096E-3</v>
      </c>
      <c r="C15" s="15" t="str">
        <f>_xll.ohRangeRetrieveError(B15)</f>
        <v/>
      </c>
      <c r="D15">
        <v>1.0027114990119252</v>
      </c>
      <c r="E15" s="15" t="str">
        <f>_xll.ohRangeRetrieveError(D15)</f>
        <v/>
      </c>
      <c r="F15" s="24">
        <f t="shared" si="1"/>
        <v>0.76388888888888884</v>
      </c>
      <c r="G15" s="24">
        <f t="shared" si="2"/>
        <v>1.0027114990119252</v>
      </c>
      <c r="J15" s="18">
        <f t="shared" si="3"/>
        <v>45166</v>
      </c>
      <c r="K15" s="18">
        <f t="shared" si="0"/>
        <v>45350</v>
      </c>
      <c r="L15" s="39">
        <f>_xll.qlYieldTSForwardRate('8.Piecewise_YieldCurve_EONIA'!$D$2,'10.CurvaEonia'!J15,'10.CurvaEonia'!K15,'10.CurvaEonia'!$I$3,'10.CurvaEonia'!$I$7,'10.CurvaEonia'!$I$5)</f>
        <v>8.0142056094863988E-3</v>
      </c>
    </row>
    <row r="16" spans="1:18" x14ac:dyDescent="0.25">
      <c r="A16" s="18">
        <f>+'9.Curve'!A17</f>
        <v>43098</v>
      </c>
      <c r="B16" s="42">
        <f>_xll.qlYieldTSZeroRate('8.Piecewise_YieldCurve_EONIA'!$D$2,'10.CurvaEonia'!A16,'10.CurvaEonia'!$I$3,'10.CurvaEonia'!$I$4,'10.CurvaEonia'!$I$5)</f>
        <v>-3.5453016883301054E-3</v>
      </c>
      <c r="C16" s="15" t="str">
        <f>_xll.ohRangeRetrieveError(B16)</f>
        <v/>
      </c>
      <c r="D16">
        <v>1.0029982962402428</v>
      </c>
      <c r="E16" s="15" t="str">
        <f>_xll.ohRangeRetrieveError(D16)</f>
        <v/>
      </c>
      <c r="F16" s="24">
        <f t="shared" si="1"/>
        <v>0.84444444444444444</v>
      </c>
      <c r="G16" s="24">
        <f t="shared" si="2"/>
        <v>1.0029982962402428</v>
      </c>
      <c r="J16" s="18">
        <f t="shared" si="3"/>
        <v>45350</v>
      </c>
      <c r="K16" s="18">
        <f t="shared" si="0"/>
        <v>45532</v>
      </c>
      <c r="L16" s="39">
        <f>_xll.qlYieldTSForwardRate('8.Piecewise_YieldCurve_EONIA'!$D$2,'10.CurvaEonia'!J16,'10.CurvaEonia'!K16,'10.CurvaEonia'!$I$3,'10.CurvaEonia'!$I$7,'10.CurvaEonia'!$I$5)</f>
        <v>1.0990884048284348E-2</v>
      </c>
      <c r="M16" t="s">
        <v>116</v>
      </c>
    </row>
    <row r="17" spans="1:14" x14ac:dyDescent="0.25">
      <c r="A17" s="18">
        <f>+'9.Curve'!A18</f>
        <v>43131</v>
      </c>
      <c r="B17" s="42">
        <f>_xll.qlYieldTSZeroRate('8.Piecewise_YieldCurve_EONIA'!$D$2,'10.CurvaEonia'!A17,'10.CurvaEonia'!$I$3,'10.CurvaEonia'!$I$4,'10.CurvaEonia'!$I$5)</f>
        <v>-3.5458784754811932E-3</v>
      </c>
      <c r="C17" s="15" t="str">
        <f>_xll.ohRangeRetrieveError(B17)</f>
        <v/>
      </c>
      <c r="D17">
        <v>1.0033248513365487</v>
      </c>
      <c r="E17" s="15" t="str">
        <f>_xll.ohRangeRetrieveError(D17)</f>
        <v/>
      </c>
      <c r="F17" s="24">
        <f t="shared" si="1"/>
        <v>0.93611111111111112</v>
      </c>
      <c r="G17" s="24">
        <f t="shared" si="2"/>
        <v>1.0033248513365487</v>
      </c>
      <c r="J17" s="18">
        <f t="shared" si="3"/>
        <v>45532</v>
      </c>
      <c r="K17" s="18">
        <f t="shared" si="0"/>
        <v>45716</v>
      </c>
      <c r="L17" s="39">
        <f>_xll.qlYieldTSForwardRate('8.Piecewise_YieldCurve_EONIA'!$D$2,'10.CurvaEonia'!J17,'10.CurvaEonia'!K17,'10.CurvaEonia'!$I$3,'10.CurvaEonia'!$I$7,'10.CurvaEonia'!$I$5)</f>
        <v>1.1007679102008134E-2</v>
      </c>
    </row>
    <row r="18" spans="1:14" x14ac:dyDescent="0.25">
      <c r="A18" s="18">
        <f>+'9.Curve'!A19</f>
        <v>43159</v>
      </c>
      <c r="B18" s="42">
        <f>_xll.qlYieldTSZeroRate('8.Piecewise_YieldCurve_EONIA'!$D$2,'10.CurvaEonia'!A18,'10.CurvaEonia'!$I$3,'10.CurvaEonia'!$I$4,'10.CurvaEonia'!$I$5)</f>
        <v>-3.5463680669548976E-3</v>
      </c>
      <c r="C18" s="15" t="str">
        <f>_xll.ohRangeRetrieveError(B18)</f>
        <v/>
      </c>
      <c r="D18">
        <v>1.0036020951866607</v>
      </c>
      <c r="E18" s="15" t="str">
        <f>_xll.ohRangeRetrieveError(D18)</f>
        <v/>
      </c>
      <c r="F18" s="24">
        <f t="shared" si="1"/>
        <v>1.0138888888888888</v>
      </c>
      <c r="G18" s="24">
        <f t="shared" si="2"/>
        <v>1.0036020951866607</v>
      </c>
      <c r="J18" s="18">
        <f t="shared" si="3"/>
        <v>45716</v>
      </c>
      <c r="K18" s="18">
        <f t="shared" si="0"/>
        <v>45897</v>
      </c>
      <c r="L18" s="39">
        <f>_xll.qlYieldTSForwardRate('8.Piecewise_YieldCurve_EONIA'!$D$2,'10.CurvaEonia'!J18,'10.CurvaEonia'!K18,'10.CurvaEonia'!$I$3,'10.CurvaEonia'!$I$7,'10.CurvaEonia'!$I$5)</f>
        <v>1.3308910009469587E-2</v>
      </c>
      <c r="M18" t="s">
        <v>285</v>
      </c>
    </row>
    <row r="19" spans="1:14" x14ac:dyDescent="0.25">
      <c r="A19" s="18">
        <f>+'9.Curve'!A20</f>
        <v>43251</v>
      </c>
      <c r="B19" s="42">
        <f>_xll.qlYieldTSZeroRate('8.Piecewise_YieldCurve_EONIA'!$D$2,'10.CurvaEonia'!A19,'10.CurvaEonia'!$I$3,'10.CurvaEonia'!$I$4,'10.CurvaEonia'!$I$5)</f>
        <v>-3.5153208697495551E-3</v>
      </c>
      <c r="C19" s="15" t="str">
        <f>_xll.ohRangeRetrieveError(B19)</f>
        <v/>
      </c>
      <c r="D19">
        <v>1.0044724763495174</v>
      </c>
      <c r="E19" s="15" t="str">
        <f>_xll.ohRangeRetrieveError(D19)</f>
        <v/>
      </c>
      <c r="F19" s="24">
        <f t="shared" si="1"/>
        <v>1.2694444444444444</v>
      </c>
      <c r="G19" s="24">
        <f t="shared" si="2"/>
        <v>1.0044724763495174</v>
      </c>
      <c r="J19" s="18">
        <f t="shared" si="3"/>
        <v>45897</v>
      </c>
      <c r="K19" s="18">
        <f t="shared" si="0"/>
        <v>46081</v>
      </c>
      <c r="L19" s="39">
        <f>_xll.qlYieldTSForwardRate('8.Piecewise_YieldCurve_EONIA'!$D$2,'10.CurvaEonia'!J19,'10.CurvaEonia'!K19,'10.CurvaEonia'!$I$3,'10.CurvaEonia'!$I$7,'10.CurvaEonia'!$I$5)</f>
        <v>1.3319809972486999E-2</v>
      </c>
    </row>
    <row r="20" spans="1:14" x14ac:dyDescent="0.25">
      <c r="A20" s="18">
        <f>+'9.Curve'!A21</f>
        <v>43343</v>
      </c>
      <c r="B20" s="42">
        <f>_xll.qlYieldTSZeroRate('8.Piecewise_YieldCurve_EONIA'!$D$2,'10.CurvaEonia'!A20,'10.CurvaEonia'!$I$3,'10.CurvaEonia'!$I$4,'10.CurvaEonia'!$I$5)</f>
        <v>-3.4851596663657732E-3</v>
      </c>
      <c r="C20" s="15" t="str">
        <f>_xll.ohRangeRetrieveError(B20)</f>
        <v/>
      </c>
      <c r="D20">
        <v>1.0053290174602778</v>
      </c>
      <c r="E20" s="15" t="str">
        <f>_xll.ohRangeRetrieveError(D20)</f>
        <v/>
      </c>
      <c r="F20" s="24">
        <f t="shared" si="1"/>
        <v>1.5249999999999999</v>
      </c>
      <c r="G20" s="24">
        <f t="shared" si="2"/>
        <v>1.0053290174602778</v>
      </c>
      <c r="J20" s="18">
        <f t="shared" si="3"/>
        <v>46081</v>
      </c>
      <c r="K20" s="18">
        <f t="shared" si="0"/>
        <v>46262</v>
      </c>
      <c r="L20" s="39">
        <f>_xll.qlYieldTSForwardRate('8.Piecewise_YieldCurve_EONIA'!$D$2,'10.CurvaEonia'!J20,'10.CurvaEonia'!K20,'10.CurvaEonia'!$I$3,'10.CurvaEonia'!$I$7,'10.CurvaEonia'!$I$5)</f>
        <v>1.5179664530664808E-2</v>
      </c>
      <c r="M20" t="s">
        <v>118</v>
      </c>
    </row>
    <row r="21" spans="1:14" ht="30" x14ac:dyDescent="0.25">
      <c r="A21" s="18">
        <f>+'9.Curve'!A22</f>
        <v>43434</v>
      </c>
      <c r="B21" s="42">
        <f>_xll.qlYieldTSZeroRate('8.Piecewise_YieldCurve_EONIA'!$D$2,'10.CurvaEonia'!A21,'10.CurvaEonia'!$I$3,'10.CurvaEonia'!$I$4,'10.CurvaEonia'!$I$5)</f>
        <v>-3.4354677110763976E-3</v>
      </c>
      <c r="C21" s="15" t="str">
        <f>_xll.ohRangeRetrieveError(B21)</f>
        <v/>
      </c>
      <c r="D21">
        <v>1.0061261869477567</v>
      </c>
      <c r="E21" s="15" t="str">
        <f>_xll.ohRangeRetrieveError(D21)</f>
        <v/>
      </c>
      <c r="F21" s="24">
        <f t="shared" si="1"/>
        <v>1.7777777777777777</v>
      </c>
      <c r="G21" s="24">
        <f t="shared" si="2"/>
        <v>1.0061261869477567</v>
      </c>
      <c r="J21" s="18">
        <f t="shared" si="3"/>
        <v>46262</v>
      </c>
      <c r="K21" s="18">
        <f t="shared" si="0"/>
        <v>46446</v>
      </c>
      <c r="L21" s="39">
        <f>_xll.qlYieldTSForwardRate('8.Piecewise_YieldCurve_EONIA'!$D$2,'10.CurvaEonia'!J21,'10.CurvaEonia'!K21,'10.CurvaEonia'!$I$3,'10.CurvaEonia'!$I$7,'10.CurvaEonia'!$I$5)</f>
        <v>1.519501016831486E-2</v>
      </c>
      <c r="M21" s="14" t="s">
        <v>119</v>
      </c>
      <c r="N21" s="14" t="s">
        <v>286</v>
      </c>
    </row>
    <row r="22" spans="1:14" x14ac:dyDescent="0.25">
      <c r="A22" s="18">
        <f>+'9.Curve'!A23</f>
        <v>43524</v>
      </c>
      <c r="B22" s="42">
        <f>_xll.qlYieldTSZeroRate('8.Piecewise_YieldCurve_EONIA'!$D$2,'10.CurvaEonia'!A22,'10.CurvaEonia'!$I$3,'10.CurvaEonia'!$I$4,'10.CurvaEonia'!$I$5)</f>
        <v>-3.3760619400202952E-3</v>
      </c>
      <c r="C22" s="15" t="str">
        <f>_xll.ohRangeRetrieveError(B22)</f>
        <v/>
      </c>
      <c r="D22">
        <v>1.0068693901403518</v>
      </c>
      <c r="E22" s="15" t="str">
        <f>_xll.ohRangeRetrieveError(D22)</f>
        <v/>
      </c>
      <c r="F22" s="24">
        <f t="shared" si="1"/>
        <v>2.0277777777777777</v>
      </c>
      <c r="G22" s="24">
        <f t="shared" si="2"/>
        <v>1.0068693901403518</v>
      </c>
      <c r="J22" s="18">
        <f t="shared" si="3"/>
        <v>46446</v>
      </c>
      <c r="K22" s="18">
        <f t="shared" si="0"/>
        <v>46627</v>
      </c>
      <c r="L22" s="39">
        <f>_xll.qlYieldTSForwardRate('8.Piecewise_YieldCurve_EONIA'!$D$2,'10.CurvaEonia'!J22,'10.CurvaEonia'!K22,'10.CurvaEonia'!$I$3,'10.CurvaEonia'!$I$7,'10.CurvaEonia'!$I$5)</f>
        <v>1.6503620322714439E-2</v>
      </c>
      <c r="M22" s="14" t="s">
        <v>275</v>
      </c>
      <c r="N22" s="14" t="s">
        <v>287</v>
      </c>
    </row>
    <row r="23" spans="1:14" x14ac:dyDescent="0.25">
      <c r="A23" s="18">
        <f>+'9.Curve'!A24</f>
        <v>43889</v>
      </c>
      <c r="B23" s="42">
        <f>_xll.qlYieldTSZeroRate('8.Piecewise_YieldCurve_EONIA'!$D$2,'10.CurvaEonia'!A23,'10.CurvaEonia'!$I$3,'10.CurvaEonia'!$I$4,'10.CurvaEonia'!$I$5)</f>
        <v>-2.9858642675313564E-3</v>
      </c>
      <c r="C23" s="15" t="str">
        <f>_xll.ohRangeRetrieveError(B23)</f>
        <v/>
      </c>
      <c r="D23">
        <v>1.009123370345876</v>
      </c>
      <c r="E23" s="15" t="str">
        <f>_xll.ohRangeRetrieveError(D23)</f>
        <v/>
      </c>
      <c r="F23" s="24">
        <f t="shared" si="1"/>
        <v>3.0416666666666665</v>
      </c>
      <c r="G23" s="24">
        <f t="shared" si="2"/>
        <v>1.009123370345876</v>
      </c>
      <c r="J23" s="18">
        <f t="shared" si="3"/>
        <v>46627</v>
      </c>
      <c r="K23" s="18">
        <f t="shared" si="0"/>
        <v>46811</v>
      </c>
      <c r="L23" s="39">
        <f>_xll.qlYieldTSForwardRate('8.Piecewise_YieldCurve_EONIA'!$D$2,'10.CurvaEonia'!J23,'10.CurvaEonia'!K23,'10.CurvaEonia'!$I$3,'10.CurvaEonia'!$I$7,'10.CurvaEonia'!$I$5)</f>
        <v>1.6504752121300734E-2</v>
      </c>
      <c r="M23" s="14" t="s">
        <v>288</v>
      </c>
      <c r="N23" s="14" t="s">
        <v>289</v>
      </c>
    </row>
    <row r="24" spans="1:14" ht="60" x14ac:dyDescent="0.25">
      <c r="A24" s="18">
        <f>+'9.Curve'!A25</f>
        <v>44253</v>
      </c>
      <c r="B24" s="42">
        <f>_xll.qlYieldTSZeroRate('8.Piecewise_YieldCurve_EONIA'!$D$2,'10.CurvaEonia'!A24,'10.CurvaEonia'!$I$3,'10.CurvaEonia'!$I$4,'10.CurvaEonia'!$I$5)</f>
        <v>-2.3658628561350581E-3</v>
      </c>
      <c r="C24" s="15" t="str">
        <f>_xll.ohRangeRetrieveError(B24)</f>
        <v/>
      </c>
      <c r="D24">
        <v>1.0096344315855161</v>
      </c>
      <c r="E24" s="15" t="str">
        <f>_xll.ohRangeRetrieveError(D24)</f>
        <v/>
      </c>
      <c r="F24" s="24">
        <f t="shared" si="1"/>
        <v>4.052777777777778</v>
      </c>
      <c r="G24" s="24">
        <f t="shared" si="2"/>
        <v>1.0096344315855161</v>
      </c>
      <c r="J24" s="18">
        <f t="shared" si="3"/>
        <v>46811</v>
      </c>
      <c r="K24" s="18">
        <f t="shared" si="0"/>
        <v>46993</v>
      </c>
      <c r="L24" s="39">
        <f>_xll.qlYieldTSForwardRate('8.Piecewise_YieldCurve_EONIA'!$D$2,'10.CurvaEonia'!J24,'10.CurvaEonia'!K24,'10.CurvaEonia'!$I$3,'10.CurvaEonia'!$I$7,'10.CurvaEonia'!$I$5)</f>
        <v>1.7267447625342217E-2</v>
      </c>
      <c r="M24" s="14" t="s">
        <v>290</v>
      </c>
      <c r="N24" s="14" t="s">
        <v>291</v>
      </c>
    </row>
    <row r="25" spans="1:14" ht="45" x14ac:dyDescent="0.25">
      <c r="A25" s="18">
        <f>+'9.Curve'!A26</f>
        <v>44620</v>
      </c>
      <c r="B25" s="42">
        <f>_xll.qlYieldTSZeroRate('8.Piecewise_YieldCurve_EONIA'!$D$2,'10.CurvaEonia'!A25,'10.CurvaEonia'!$I$3,'10.CurvaEonia'!$I$4,'10.CurvaEonia'!$I$5)</f>
        <v>-1.5053054021170289E-3</v>
      </c>
      <c r="C25" s="15" t="str">
        <f>_xll.ohRangeRetrieveError(B25)</f>
        <v/>
      </c>
      <c r="D25">
        <v>1.0076644663106404</v>
      </c>
      <c r="E25" s="15" t="str">
        <f>_xll.ohRangeRetrieveError(D25)</f>
        <v/>
      </c>
      <c r="F25" s="24">
        <f t="shared" si="1"/>
        <v>5.072222222222222</v>
      </c>
      <c r="G25" s="24">
        <f t="shared" si="2"/>
        <v>1.0076644663106404</v>
      </c>
      <c r="J25" s="18">
        <f t="shared" si="3"/>
        <v>46993</v>
      </c>
      <c r="K25" s="18">
        <f t="shared" si="0"/>
        <v>47177</v>
      </c>
      <c r="L25" s="39">
        <f>_xll.qlYieldTSForwardRate('8.Piecewise_YieldCurve_EONIA'!$D$2,'10.CurvaEonia'!J25,'10.CurvaEonia'!K25,'10.CurvaEonia'!$I$3,'10.CurvaEonia'!$I$7,'10.CurvaEonia'!$I$5)</f>
        <v>1.7272492658160849E-2</v>
      </c>
      <c r="M25" s="14" t="s">
        <v>292</v>
      </c>
      <c r="N25" s="14" t="s">
        <v>293</v>
      </c>
    </row>
    <row r="26" spans="1:14" ht="30" x14ac:dyDescent="0.25">
      <c r="A26" s="18">
        <f>+'9.Curve'!A27</f>
        <v>44985</v>
      </c>
      <c r="B26" s="42">
        <f>_xll.qlYieldTSZeroRate('8.Piecewise_YieldCurve_EONIA'!$D$2,'10.CurvaEonia'!A26,'10.CurvaEonia'!$I$3,'10.CurvaEonia'!$I$4,'10.CurvaEonia'!$I$5)</f>
        <v>-4.4230716997418525E-4</v>
      </c>
      <c r="C26" s="15" t="str">
        <f>_xll.ohRangeRetrieveError(B26)</f>
        <v/>
      </c>
      <c r="D26">
        <v>1.0026955570801963</v>
      </c>
      <c r="E26" s="15" t="str">
        <f>_xll.ohRangeRetrieveError(D26)</f>
        <v/>
      </c>
      <c r="F26" s="24">
        <f t="shared" si="1"/>
        <v>6.0861111111111112</v>
      </c>
      <c r="G26" s="24">
        <f t="shared" si="2"/>
        <v>1.0026955570801963</v>
      </c>
      <c r="J26" s="18">
        <f t="shared" si="3"/>
        <v>47177</v>
      </c>
      <c r="K26" s="18">
        <f t="shared" si="0"/>
        <v>47358</v>
      </c>
      <c r="L26" s="39">
        <f>_xll.qlYieldTSForwardRate('8.Piecewise_YieldCurve_EONIA'!$D$2,'10.CurvaEonia'!J26,'10.CurvaEonia'!K26,'10.CurvaEonia'!$I$3,'10.CurvaEonia'!$I$7,'10.CurvaEonia'!$I$5)</f>
        <v>1.7907094668037155E-2</v>
      </c>
      <c r="M26" s="14" t="s">
        <v>294</v>
      </c>
      <c r="N26" s="14" t="s">
        <v>295</v>
      </c>
    </row>
    <row r="27" spans="1:14" x14ac:dyDescent="0.25">
      <c r="A27" s="18">
        <f>+'9.Curve'!A28</f>
        <v>45351</v>
      </c>
      <c r="B27" s="42">
        <f>_xll.qlYieldTSZeroRate('8.Piecewise_YieldCurve_EONIA'!$D$2,'10.CurvaEonia'!A27,'10.CurvaEonia'!$I$3,'10.CurvaEonia'!$I$4,'10.CurvaEonia'!$I$5)</f>
        <v>7.6578536835592188E-4</v>
      </c>
      <c r="C27" s="15" t="str">
        <f>_xll.ohRangeRetrieveError(B27)</f>
        <v/>
      </c>
      <c r="D27">
        <v>0.99457556238603284</v>
      </c>
      <c r="E27" s="15" t="str">
        <f>_xll.ohRangeRetrieveError(D27)</f>
        <v/>
      </c>
      <c r="F27" s="24">
        <f t="shared" si="1"/>
        <v>7.1027777777777779</v>
      </c>
      <c r="G27" s="24">
        <f t="shared" si="2"/>
        <v>0.99457556238603284</v>
      </c>
      <c r="J27" s="18">
        <f t="shared" si="3"/>
        <v>47358</v>
      </c>
      <c r="K27" s="18">
        <f t="shared" si="0"/>
        <v>47542</v>
      </c>
      <c r="L27" s="39">
        <f>_xll.qlYieldTSForwardRate('8.Piecewise_YieldCurve_EONIA'!$D$2,'10.CurvaEonia'!J27,'10.CurvaEonia'!K27,'10.CurvaEonia'!$I$3,'10.CurvaEonia'!$I$7,'10.CurvaEonia'!$I$5)</f>
        <v>1.7908426842406452E-2</v>
      </c>
      <c r="M27" s="14" t="s">
        <v>125</v>
      </c>
      <c r="N27" s="14" t="s">
        <v>126</v>
      </c>
    </row>
    <row r="28" spans="1:14" x14ac:dyDescent="0.25">
      <c r="A28" s="18">
        <f>+'9.Curve'!A29</f>
        <v>45716</v>
      </c>
      <c r="B28" s="42">
        <f>_xll.qlYieldTSZeroRate('8.Piecewise_YieldCurve_EONIA'!$D$2,'10.CurvaEonia'!A28,'10.CurvaEonia'!$I$3,'10.CurvaEonia'!$I$4,'10.CurvaEonia'!$I$5)</f>
        <v>2.0412922308719259E-3</v>
      </c>
      <c r="C28" s="15" t="str">
        <f>_xll.ohRangeRetrieveError(B28)</f>
        <v/>
      </c>
      <c r="D28">
        <v>0.98356801388041359</v>
      </c>
      <c r="E28" s="15" t="str">
        <f>_xll.ohRangeRetrieveError(D28)</f>
        <v/>
      </c>
      <c r="F28" s="24">
        <f t="shared" si="1"/>
        <v>8.1166666666666671</v>
      </c>
      <c r="G28" s="24">
        <f t="shared" si="2"/>
        <v>0.98356801388041348</v>
      </c>
      <c r="J28" s="18">
        <f t="shared" si="3"/>
        <v>47542</v>
      </c>
      <c r="K28" s="18">
        <f t="shared" si="0"/>
        <v>47723</v>
      </c>
      <c r="L28" s="39">
        <f>_xll.qlYieldTSForwardRate('8.Piecewise_YieldCurve_EONIA'!$D$2,'10.CurvaEonia'!J28,'10.CurvaEonia'!K28,'10.CurvaEonia'!$I$3,'10.CurvaEonia'!$I$7,'10.CurvaEonia'!$I$5)</f>
        <v>1.7907094668037155E-2</v>
      </c>
    </row>
    <row r="29" spans="1:14" x14ac:dyDescent="0.25">
      <c r="A29" s="18">
        <f>+'9.Curve'!A30</f>
        <v>46080</v>
      </c>
      <c r="B29" s="42">
        <f>_xll.qlYieldTSZeroRate('8.Piecewise_YieldCurve_EONIA'!$D$2,'10.CurvaEonia'!A29,'10.CurvaEonia'!$I$3,'10.CurvaEonia'!$I$4,'10.CurvaEonia'!$I$5)</f>
        <v>3.2845292064274884E-3</v>
      </c>
      <c r="C29" s="15" t="str">
        <f>_xll.ohRangeRetrieveError(B29)</f>
        <v/>
      </c>
      <c r="D29">
        <v>0.97046450332302481</v>
      </c>
      <c r="E29" s="15" t="str">
        <f>_xll.ohRangeRetrieveError(D29)</f>
        <v/>
      </c>
      <c r="F29" s="24">
        <f t="shared" si="1"/>
        <v>9.1277777777777782</v>
      </c>
      <c r="G29" s="24">
        <f t="shared" si="2"/>
        <v>0.97046450332302481</v>
      </c>
      <c r="J29" s="18">
        <f t="shared" si="3"/>
        <v>47723</v>
      </c>
      <c r="K29" s="18">
        <f t="shared" si="0"/>
        <v>47907</v>
      </c>
      <c r="L29" s="39">
        <f>_xll.qlYieldTSForwardRate('8.Piecewise_YieldCurve_EONIA'!$D$2,'10.CurvaEonia'!J29,'10.CurvaEonia'!K29,'10.CurvaEonia'!$I$3,'10.CurvaEonia'!$I$7,'10.CurvaEonia'!$I$5)</f>
        <v>1.7908426842406452E-2</v>
      </c>
    </row>
    <row r="30" spans="1:14" x14ac:dyDescent="0.25">
      <c r="A30" s="18">
        <f>+'9.Curve'!A31</f>
        <v>46444</v>
      </c>
      <c r="B30" s="42">
        <f>_xll.qlYieldTSZeroRate('8.Piecewise_YieldCurve_EONIA'!$D$2,'10.CurvaEonia'!A30,'10.CurvaEonia'!$I$3,'10.CurvaEonia'!$I$4,'10.CurvaEonia'!$I$5)</f>
        <v>4.465036333787923E-3</v>
      </c>
      <c r="C30" s="15" t="str">
        <f>_xll.ohRangeRetrieveError(B30)</f>
        <v/>
      </c>
      <c r="D30">
        <v>0.95573891253518695</v>
      </c>
      <c r="E30" s="15" t="str">
        <f>_xll.ohRangeRetrieveError(D30)</f>
        <v/>
      </c>
      <c r="F30" s="24">
        <f t="shared" si="1"/>
        <v>10.138888888888889</v>
      </c>
      <c r="G30" s="24">
        <f t="shared" si="2"/>
        <v>0.95573891253518695</v>
      </c>
      <c r="J30" s="18">
        <f t="shared" si="3"/>
        <v>47907</v>
      </c>
      <c r="K30" s="18">
        <f t="shared" si="0"/>
        <v>48088</v>
      </c>
      <c r="L30" s="39">
        <f>_xll.qlYieldTSForwardRate('8.Piecewise_YieldCurve_EONIA'!$D$2,'10.CurvaEonia'!J30,'10.CurvaEonia'!K30,'10.CurvaEonia'!$I$3,'10.CurvaEonia'!$I$7,'10.CurvaEonia'!$I$5)</f>
        <v>1.7907094668037155E-2</v>
      </c>
    </row>
    <row r="31" spans="1:14" x14ac:dyDescent="0.25">
      <c r="A31" s="18">
        <f>+'9.Curve'!A32</f>
        <v>46812</v>
      </c>
      <c r="B31" s="42">
        <f>_xll.qlYieldTSZeroRate('8.Piecewise_YieldCurve_EONIA'!$D$2,'10.CurvaEonia'!A31,'10.CurvaEonia'!$I$3,'10.CurvaEonia'!$I$4,'10.CurvaEonia'!$I$5)</f>
        <v>5.5613878090870527E-3</v>
      </c>
      <c r="C31" s="15" t="str">
        <f>_xll.ohRangeRetrieveError(B31)</f>
        <v/>
      </c>
      <c r="D31">
        <v>0.93981590629116718</v>
      </c>
      <c r="E31" s="15" t="str">
        <f>_xll.ohRangeRetrieveError(D31)</f>
        <v/>
      </c>
      <c r="F31" s="24">
        <f t="shared" si="1"/>
        <v>11.161111111111111</v>
      </c>
      <c r="G31" s="24">
        <f t="shared" si="2"/>
        <v>0.93981590629116707</v>
      </c>
      <c r="J31" s="18">
        <f t="shared" si="3"/>
        <v>48088</v>
      </c>
      <c r="K31" s="18">
        <f t="shared" si="0"/>
        <v>48272</v>
      </c>
      <c r="L31" s="39">
        <f>_xll.qlYieldTSForwardRate('8.Piecewise_YieldCurve_EONIA'!$D$2,'10.CurvaEonia'!J31,'10.CurvaEonia'!K31,'10.CurvaEonia'!$I$3,'10.CurvaEonia'!$I$7,'10.CurvaEonia'!$I$5)</f>
        <v>1.7904268849504724E-2</v>
      </c>
    </row>
    <row r="32" spans="1:14" x14ac:dyDescent="0.25">
      <c r="A32" s="18">
        <f>+'9.Curve'!A33</f>
        <v>47177</v>
      </c>
      <c r="B32" s="42">
        <f>_xll.qlYieldTSZeroRate('8.Piecewise_YieldCurve_EONIA'!$D$2,'10.CurvaEonia'!A32,'10.CurvaEonia'!$I$3,'10.CurvaEonia'!$I$4,'10.CurvaEonia'!$I$5)</f>
        <v>6.5303331835633886E-3</v>
      </c>
      <c r="C32" s="15" t="str">
        <f>_xll.ohRangeRetrieveError(B32)</f>
        <v/>
      </c>
      <c r="D32">
        <v>0.92357173364707856</v>
      </c>
      <c r="E32" s="15" t="str">
        <f>_xll.ohRangeRetrieveError(D32)</f>
        <v/>
      </c>
      <c r="F32" s="24">
        <f t="shared" si="1"/>
        <v>12.175000000000001</v>
      </c>
      <c r="G32" s="24">
        <f t="shared" si="2"/>
        <v>0.92357173364707856</v>
      </c>
      <c r="J32" s="18">
        <f t="shared" si="3"/>
        <v>48272</v>
      </c>
      <c r="K32" s="18">
        <f t="shared" si="0"/>
        <v>48454</v>
      </c>
      <c r="L32" s="39">
        <f>_xll.qlYieldTSForwardRate('8.Piecewise_YieldCurve_EONIA'!$D$2,'10.CurvaEonia'!J32,'10.CurvaEonia'!K32,'10.CurvaEonia'!$I$3,'10.CurvaEonia'!$I$7,'10.CurvaEonia'!$I$5)</f>
        <v>1.7142689564118435E-2</v>
      </c>
      <c r="M32" s="13" t="s">
        <v>309</v>
      </c>
    </row>
    <row r="33" spans="1:13" x14ac:dyDescent="0.25">
      <c r="A33" s="18">
        <f>+'9.Curve'!A34</f>
        <v>48271</v>
      </c>
      <c r="B33" s="42">
        <f>_xll.qlYieldTSZeroRate('8.Piecewise_YieldCurve_EONIA'!$D$2,'10.CurvaEonia'!A33,'10.CurvaEonia'!$I$3,'10.CurvaEonia'!$I$4,'10.CurvaEonia'!$I$5)</f>
        <v>8.7867717440498917E-3</v>
      </c>
      <c r="C33" s="15" t="str">
        <f>_xll.ohRangeRetrieveError(B33)</f>
        <v/>
      </c>
      <c r="D33">
        <v>0.87486913045394488</v>
      </c>
      <c r="E33" s="15" t="str">
        <f>_xll.ohRangeRetrieveError(D33)</f>
        <v/>
      </c>
      <c r="F33" s="24">
        <f t="shared" si="1"/>
        <v>15.213888888888889</v>
      </c>
      <c r="G33" s="24">
        <f t="shared" si="2"/>
        <v>0.87486913045394477</v>
      </c>
      <c r="J33" s="18">
        <f t="shared" si="3"/>
        <v>48454</v>
      </c>
      <c r="K33" s="18">
        <f t="shared" si="0"/>
        <v>48638</v>
      </c>
      <c r="L33" s="39">
        <f>_xll.qlYieldTSForwardRate('8.Piecewise_YieldCurve_EONIA'!$D$2,'10.CurvaEonia'!J33,'10.CurvaEonia'!K33,'10.CurvaEonia'!$I$3,'10.CurvaEonia'!$I$7,'10.CurvaEonia'!$I$5)</f>
        <v>1.714350355239519E-2</v>
      </c>
    </row>
    <row r="34" spans="1:13" x14ac:dyDescent="0.25">
      <c r="A34" s="18">
        <f>+'9.Curve'!A35</f>
        <v>50098</v>
      </c>
      <c r="B34" s="42">
        <f>_xll.qlYieldTSZeroRate('8.Piecewise_YieldCurve_EONIA'!$D$2,'10.CurvaEonia'!A34,'10.CurvaEonia'!$I$3,'10.CurvaEonia'!$I$4,'10.CurvaEonia'!$I$5)</f>
        <v>1.0858420646834899E-2</v>
      </c>
      <c r="C34" s="15" t="str">
        <f>_xll.ohRangeRetrieveError(B34)</f>
        <v/>
      </c>
      <c r="D34">
        <v>0.80227383438302668</v>
      </c>
      <c r="E34" s="15" t="str">
        <f>_xll.ohRangeRetrieveError(D34)</f>
        <v/>
      </c>
      <c r="F34" s="24">
        <f t="shared" si="1"/>
        <v>20.288888888888888</v>
      </c>
      <c r="G34" s="24">
        <f t="shared" si="2"/>
        <v>0.80227383438302668</v>
      </c>
      <c r="J34" s="18">
        <f t="shared" si="3"/>
        <v>48638</v>
      </c>
      <c r="K34" s="18">
        <f t="shared" si="0"/>
        <v>48819</v>
      </c>
      <c r="L34" s="39">
        <f>_xll.qlYieldTSForwardRate('8.Piecewise_YieldCurve_EONIA'!$D$2,'10.CurvaEonia'!J34,'10.CurvaEonia'!K34,'10.CurvaEonia'!$I$3,'10.CurvaEonia'!$I$7,'10.CurvaEonia'!$I$5)</f>
        <v>1.7142282589290687E-2</v>
      </c>
      <c r="M34" t="s">
        <v>310</v>
      </c>
    </row>
    <row r="35" spans="1:13" x14ac:dyDescent="0.25">
      <c r="A35" s="18">
        <f>+'9.Curve'!A36</f>
        <v>51925</v>
      </c>
      <c r="B35" s="42">
        <f>_xll.qlYieldTSZeroRate('8.Piecewise_YieldCurve_EONIA'!$D$2,'10.CurvaEonia'!A35,'10.CurvaEonia'!$I$3,'10.CurvaEonia'!$I$4,'10.CurvaEonia'!$I$5)</f>
        <v>1.1705179869958466E-2</v>
      </c>
      <c r="C35" s="15" t="str">
        <f>_xll.ohRangeRetrieveError(B35)</f>
        <v/>
      </c>
      <c r="D35">
        <v>0.74312658277693899</v>
      </c>
      <c r="E35" s="15" t="str">
        <f>_xll.ohRangeRetrieveError(D35)</f>
        <v/>
      </c>
      <c r="F35" s="24">
        <f t="shared" si="1"/>
        <v>25.363888888888887</v>
      </c>
      <c r="G35" s="24">
        <f t="shared" si="2"/>
        <v>0.74312658277693899</v>
      </c>
      <c r="J35" s="18">
        <f t="shared" si="3"/>
        <v>48819</v>
      </c>
      <c r="K35" s="18">
        <f t="shared" si="0"/>
        <v>49003</v>
      </c>
      <c r="L35" s="39">
        <f>_xll.qlYieldTSForwardRate('8.Piecewise_YieldCurve_EONIA'!$D$2,'10.CurvaEonia'!J35,'10.CurvaEonia'!K35,'10.CurvaEonia'!$I$3,'10.CurvaEonia'!$I$7,'10.CurvaEonia'!$I$5)</f>
        <v>1.7143503552395623E-2</v>
      </c>
      <c r="M35" t="s">
        <v>311</v>
      </c>
    </row>
    <row r="36" spans="1:13" x14ac:dyDescent="0.25">
      <c r="A36" s="18">
        <f>+'9.Curve'!A37</f>
        <v>53751</v>
      </c>
      <c r="B36" s="42">
        <f>_xll.qlYieldTSZeroRate('8.Piecewise_YieldCurve_EONIA'!$D$2,'10.CurvaEonia'!A36,'10.CurvaEonia'!$I$3,'10.CurvaEonia'!$I$4,'10.CurvaEonia'!$I$5)</f>
        <v>1.205474296877169E-2</v>
      </c>
      <c r="C36" s="15" t="str">
        <f>_xll.ohRangeRetrieveError(B36)</f>
        <v/>
      </c>
      <c r="D36">
        <v>0.69287927839767771</v>
      </c>
      <c r="E36" s="15" t="str">
        <f>_xll.ohRangeRetrieveError(D36)</f>
        <v/>
      </c>
      <c r="F36" s="24">
        <f t="shared" si="1"/>
        <v>30.43611111111111</v>
      </c>
      <c r="G36" s="24">
        <f t="shared" si="2"/>
        <v>0.69287927839767771</v>
      </c>
      <c r="J36" s="18">
        <f t="shared" si="3"/>
        <v>49003</v>
      </c>
      <c r="K36" s="18">
        <f t="shared" si="0"/>
        <v>49184</v>
      </c>
      <c r="L36" s="39">
        <f>_xll.qlYieldTSForwardRate('8.Piecewise_YieldCurve_EONIA'!$D$2,'10.CurvaEonia'!J36,'10.CurvaEonia'!K36,'10.CurvaEonia'!$I$3,'10.CurvaEonia'!$I$7,'10.CurvaEonia'!$I$5)</f>
        <v>1.7142282589290687E-2</v>
      </c>
      <c r="M36" t="s">
        <v>109</v>
      </c>
    </row>
    <row r="37" spans="1:13" x14ac:dyDescent="0.25">
      <c r="A37" s="18">
        <f>+'9.Curve'!A38</f>
        <v>57404</v>
      </c>
      <c r="B37" s="42">
        <f>_xll.qlYieldTSZeroRate('8.Piecewise_YieldCurve_EONIA'!$D$2,'10.CurvaEonia'!A37,'10.CurvaEonia'!$I$3,'10.CurvaEonia'!$I$4,'10.CurvaEonia'!$I$5)</f>
        <v>1.2167332417707307E-2</v>
      </c>
      <c r="C37" s="15" t="str">
        <f>_xll.ohRangeRetrieveError(B37)</f>
        <v/>
      </c>
      <c r="D37">
        <v>0.61030838078649063</v>
      </c>
      <c r="E37" s="15" t="str">
        <f>_xll.ohRangeRetrieveError(D37)</f>
        <v/>
      </c>
      <c r="F37" s="24">
        <f t="shared" si="1"/>
        <v>40.583333333333336</v>
      </c>
      <c r="G37" s="24">
        <f t="shared" si="2"/>
        <v>0.61030838078649063</v>
      </c>
      <c r="J37" s="18">
        <f t="shared" si="3"/>
        <v>49184</v>
      </c>
      <c r="K37" s="18">
        <f t="shared" si="0"/>
        <v>49368</v>
      </c>
      <c r="L37" s="39">
        <f>_xll.qlYieldTSForwardRate('8.Piecewise_YieldCurve_EONIA'!$D$2,'10.CurvaEonia'!J37,'10.CurvaEonia'!K37,'10.CurvaEonia'!$I$3,'10.CurvaEonia'!$I$7,'10.CurvaEonia'!$I$5)</f>
        <v>1.7143503552395623E-2</v>
      </c>
      <c r="M37" t="s">
        <v>312</v>
      </c>
    </row>
    <row r="38" spans="1:13" x14ac:dyDescent="0.25">
      <c r="A38" s="18">
        <f>+'9.Curve'!A39</f>
        <v>61056</v>
      </c>
      <c r="B38" s="42">
        <f>_xll.qlYieldTSZeroRate('8.Piecewise_YieldCurve_EONIA'!$D$2,'10.CurvaEonia'!A38,'10.CurvaEonia'!$I$3,'10.CurvaEonia'!$I$4,'10.CurvaEonia'!$I$5)</f>
        <v>1.1600106997606319E-2</v>
      </c>
      <c r="C38" s="15" t="str">
        <f>_xll.ohRangeRetrieveError(B38)</f>
        <v/>
      </c>
      <c r="D38">
        <v>0.55518846296200541</v>
      </c>
      <c r="E38" s="15" t="str">
        <f>_xll.ohRangeRetrieveError(D38)</f>
        <v/>
      </c>
      <c r="F38" s="24">
        <f t="shared" si="1"/>
        <v>50.727777777777774</v>
      </c>
      <c r="G38" s="24">
        <f t="shared" si="2"/>
        <v>0.55518846296200541</v>
      </c>
      <c r="J38" s="18">
        <f t="shared" si="3"/>
        <v>49368</v>
      </c>
      <c r="K38" s="18">
        <f t="shared" si="0"/>
        <v>49549</v>
      </c>
      <c r="L38" s="39">
        <f>_xll.qlYieldTSForwardRate('8.Piecewise_YieldCurve_EONIA'!$D$2,'10.CurvaEonia'!J38,'10.CurvaEonia'!K38,'10.CurvaEonia'!$I$3,'10.CurvaEonia'!$I$7,'10.CurvaEonia'!$I$5)</f>
        <v>1.7142282589290687E-2</v>
      </c>
      <c r="M38" t="s">
        <v>283</v>
      </c>
    </row>
    <row r="39" spans="1:13" x14ac:dyDescent="0.25">
      <c r="A39" s="18">
        <f>+'9.Curve'!A40</f>
        <v>64707</v>
      </c>
      <c r="B39" s="42">
        <f>_xll.qlYieldTSZeroRate('8.Piecewise_YieldCurve_EONIA'!$D$2,'10.CurvaEonia'!A39,'10.CurvaEonia'!$I$3,'10.CurvaEonia'!$I$4,'10.CurvaEonia'!$I$5)</f>
        <v>1.1209902273221524E-2</v>
      </c>
      <c r="C39" s="15" t="str">
        <f>_xll.ohRangeRetrieveError(B39)</f>
        <v/>
      </c>
      <c r="D39">
        <v>0.50543262986960902</v>
      </c>
      <c r="E39" s="15" t="str">
        <f>_xll.ohRangeRetrieveError(D39)</f>
        <v/>
      </c>
      <c r="F39" s="24">
        <f t="shared" si="1"/>
        <v>60.869444444444447</v>
      </c>
      <c r="G39" s="24">
        <f t="shared" si="2"/>
        <v>0.50543262986960902</v>
      </c>
      <c r="J39" s="18">
        <f t="shared" si="3"/>
        <v>49549</v>
      </c>
      <c r="K39" s="18">
        <f t="shared" si="0"/>
        <v>49733</v>
      </c>
      <c r="L39" s="39">
        <f>_xll.qlYieldTSForwardRate('8.Piecewise_YieldCurve_EONIA'!$D$2,'10.CurvaEonia'!J39,'10.CurvaEonia'!K39,'10.CurvaEonia'!$I$3,'10.CurvaEonia'!$I$7,'10.CurvaEonia'!$I$5)</f>
        <v>1.714350355239519E-2</v>
      </c>
      <c r="M39" t="s">
        <v>226</v>
      </c>
    </row>
    <row r="40" spans="1:13" x14ac:dyDescent="0.25">
      <c r="A40" s="18"/>
      <c r="B40" s="42"/>
      <c r="C40" s="15" t="str">
        <f>_xll.ohRangeRetrieveError(B40)</f>
        <v/>
      </c>
      <c r="E40" s="15" t="str">
        <f>_xll.ohRangeRetrieveError(D40)</f>
        <v/>
      </c>
      <c r="F40" s="24">
        <f t="shared" si="1"/>
        <v>118.87222222222222</v>
      </c>
      <c r="G40" s="24">
        <f t="shared" si="2"/>
        <v>1</v>
      </c>
      <c r="J40" s="18">
        <f t="shared" si="3"/>
        <v>49733</v>
      </c>
      <c r="K40" s="18">
        <f t="shared" si="0"/>
        <v>49915</v>
      </c>
      <c r="L40" s="39">
        <f>_xll.qlYieldTSForwardRate('8.Piecewise_YieldCurve_EONIA'!$D$2,'10.CurvaEonia'!J40,'10.CurvaEonia'!K40,'10.CurvaEonia'!$I$3,'10.CurvaEonia'!$I$7,'10.CurvaEonia'!$I$5)</f>
        <v>1.7142689564118872E-2</v>
      </c>
    </row>
    <row r="41" spans="1:13" x14ac:dyDescent="0.25">
      <c r="A41" s="18"/>
      <c r="B41" s="42"/>
      <c r="C41" s="15" t="str">
        <f>_xll.ohRangeRetrieveError(B41)</f>
        <v/>
      </c>
      <c r="E41" s="15" t="str">
        <f>_xll.ohRangeRetrieveError(D41)</f>
        <v/>
      </c>
      <c r="F41" s="24">
        <f t="shared" si="1"/>
        <v>118.87222222222222</v>
      </c>
      <c r="G41" s="24">
        <f t="shared" si="2"/>
        <v>1</v>
      </c>
      <c r="J41" s="18">
        <f t="shared" si="3"/>
        <v>49915</v>
      </c>
      <c r="K41" s="18">
        <f t="shared" si="0"/>
        <v>50099</v>
      </c>
      <c r="L41" s="39">
        <f>_xll.qlYieldTSForwardRate('8.Piecewise_YieldCurve_EONIA'!$D$2,'10.CurvaEonia'!J41,'10.CurvaEonia'!K41,'10.CurvaEonia'!$I$3,'10.CurvaEonia'!$I$7,'10.CurvaEonia'!$I$5)</f>
        <v>1.7132656817792517E-2</v>
      </c>
      <c r="M41" t="s">
        <v>114</v>
      </c>
    </row>
    <row r="42" spans="1:13" x14ac:dyDescent="0.25">
      <c r="A42" s="18"/>
      <c r="B42" s="42"/>
      <c r="C42" s="15" t="str">
        <f>_xll.ohRangeRetrieveError(B42)</f>
        <v/>
      </c>
      <c r="E42" s="15" t="str">
        <f>_xll.ohRangeRetrieveError(D42)</f>
        <v/>
      </c>
      <c r="F42" s="24">
        <f t="shared" si="1"/>
        <v>118.87222222222222</v>
      </c>
      <c r="G42" s="24">
        <f t="shared" si="2"/>
        <v>1</v>
      </c>
      <c r="J42" s="18">
        <f t="shared" si="3"/>
        <v>50099</v>
      </c>
      <c r="K42" s="18">
        <f t="shared" si="0"/>
        <v>50280</v>
      </c>
      <c r="L42" s="39">
        <f>_xll.qlYieldTSForwardRate('8.Piecewise_YieldCurve_EONIA'!$D$2,'10.CurvaEonia'!J42,'10.CurvaEonia'!K42,'10.CurvaEonia'!$I$3,'10.CurvaEonia'!$I$7,'10.CurvaEonia'!$I$5)</f>
        <v>1.5147753975076377E-2</v>
      </c>
    </row>
    <row r="43" spans="1:13" x14ac:dyDescent="0.25">
      <c r="A43" s="18"/>
      <c r="B43" s="42"/>
      <c r="C43" s="15" t="str">
        <f>_xll.ohRangeRetrieveError(B43)</f>
        <v/>
      </c>
      <c r="E43" s="15" t="str">
        <f>_xll.ohRangeRetrieveError(D43)</f>
        <v/>
      </c>
      <c r="F43" s="24">
        <f t="shared" si="1"/>
        <v>118.87222222222222</v>
      </c>
      <c r="G43" s="24">
        <f t="shared" si="2"/>
        <v>1</v>
      </c>
      <c r="J43" s="18">
        <f t="shared" si="3"/>
        <v>50280</v>
      </c>
      <c r="K43" s="18">
        <f t="shared" si="0"/>
        <v>50464</v>
      </c>
      <c r="L43" s="39">
        <f>_xll.qlYieldTSForwardRate('8.Piecewise_YieldCurve_EONIA'!$D$2,'10.CurvaEonia'!J43,'10.CurvaEonia'!K43,'10.CurvaEonia'!$I$3,'10.CurvaEonia'!$I$7,'10.CurvaEonia'!$I$5)</f>
        <v>1.514870765738467E-2</v>
      </c>
      <c r="M43" t="s">
        <v>313</v>
      </c>
    </row>
    <row r="44" spans="1:13" x14ac:dyDescent="0.25">
      <c r="A44" s="18"/>
      <c r="B44" s="42"/>
      <c r="C44" s="15" t="str">
        <f>_xll.ohRangeRetrieveError(B44)</f>
        <v/>
      </c>
      <c r="E44" s="15" t="str">
        <f>_xll.ohRangeRetrieveError(D44)</f>
        <v/>
      </c>
      <c r="F44" s="24">
        <f t="shared" si="1"/>
        <v>118.87222222222222</v>
      </c>
      <c r="G44" s="24">
        <f t="shared" si="2"/>
        <v>1</v>
      </c>
      <c r="J44" s="18">
        <f t="shared" si="3"/>
        <v>50464</v>
      </c>
      <c r="K44" s="18">
        <f t="shared" si="0"/>
        <v>50645</v>
      </c>
      <c r="L44" s="39">
        <f>_xll.qlYieldTSForwardRate('8.Piecewise_YieldCurve_EONIA'!$D$2,'10.CurvaEonia'!J44,'10.CurvaEonia'!K44,'10.CurvaEonia'!$I$3,'10.CurvaEonia'!$I$7,'10.CurvaEonia'!$I$5)</f>
        <v>1.514775397507682E-2</v>
      </c>
    </row>
    <row r="45" spans="1:13" x14ac:dyDescent="0.25">
      <c r="A45" s="18"/>
      <c r="B45" s="42"/>
      <c r="C45" s="15" t="str">
        <f>_xll.ohRangeRetrieveError(B45)</f>
        <v/>
      </c>
      <c r="E45" s="15" t="str">
        <f>_xll.ohRangeRetrieveError(D45)</f>
        <v/>
      </c>
      <c r="F45" s="24">
        <f t="shared" si="1"/>
        <v>118.87222222222222</v>
      </c>
      <c r="G45" s="24">
        <f t="shared" si="2"/>
        <v>1</v>
      </c>
      <c r="J45" s="18">
        <f t="shared" si="3"/>
        <v>50645</v>
      </c>
      <c r="K45" s="18">
        <f t="shared" si="0"/>
        <v>50829</v>
      </c>
      <c r="L45" s="39">
        <f>_xll.qlYieldTSForwardRate('8.Piecewise_YieldCurve_EONIA'!$D$2,'10.CurvaEonia'!J45,'10.CurvaEonia'!K45,'10.CurvaEonia'!$I$3,'10.CurvaEonia'!$I$7,'10.CurvaEonia'!$I$5)</f>
        <v>1.514870765738467E-2</v>
      </c>
      <c r="M45" t="s">
        <v>116</v>
      </c>
    </row>
    <row r="46" spans="1:13" x14ac:dyDescent="0.25">
      <c r="A46" s="18"/>
      <c r="B46" s="42"/>
      <c r="C46" s="15" t="str">
        <f>_xll.ohRangeRetrieveError(B46)</f>
        <v/>
      </c>
      <c r="E46" s="15" t="str">
        <f>_xll.ohRangeRetrieveError(D46)</f>
        <v/>
      </c>
      <c r="F46" s="24">
        <f t="shared" si="1"/>
        <v>118.87222222222222</v>
      </c>
      <c r="G46" s="24">
        <f t="shared" si="2"/>
        <v>1</v>
      </c>
      <c r="J46" s="18">
        <f t="shared" si="3"/>
        <v>50829</v>
      </c>
      <c r="K46" s="18">
        <f t="shared" si="0"/>
        <v>51010</v>
      </c>
      <c r="L46" s="39">
        <f>_xll.qlYieldTSForwardRate('8.Piecewise_YieldCurve_EONIA'!$D$2,'10.CurvaEonia'!J46,'10.CurvaEonia'!K46,'10.CurvaEonia'!$I$3,'10.CurvaEonia'!$I$7,'10.CurvaEonia'!$I$5)</f>
        <v>1.514775397507682E-2</v>
      </c>
    </row>
    <row r="47" spans="1:13" x14ac:dyDescent="0.25">
      <c r="A47" s="18"/>
      <c r="B47" s="42"/>
      <c r="C47" s="15" t="str">
        <f>_xll.ohRangeRetrieveError(B47)</f>
        <v/>
      </c>
      <c r="E47" s="15" t="str">
        <f>_xll.ohRangeRetrieveError(D47)</f>
        <v/>
      </c>
      <c r="F47" s="24">
        <f t="shared" si="1"/>
        <v>118.87222222222222</v>
      </c>
      <c r="G47" s="24">
        <f t="shared" si="2"/>
        <v>1</v>
      </c>
      <c r="J47" s="18">
        <f t="shared" si="3"/>
        <v>51010</v>
      </c>
      <c r="K47" s="18">
        <f t="shared" si="0"/>
        <v>51194</v>
      </c>
      <c r="L47" s="39">
        <f>_xll.qlYieldTSForwardRate('8.Piecewise_YieldCurve_EONIA'!$D$2,'10.CurvaEonia'!J47,'10.CurvaEonia'!K47,'10.CurvaEonia'!$I$3,'10.CurvaEonia'!$I$7,'10.CurvaEonia'!$I$5)</f>
        <v>1.514870765738467E-2</v>
      </c>
      <c r="M47" t="s">
        <v>285</v>
      </c>
    </row>
    <row r="48" spans="1:13" x14ac:dyDescent="0.25">
      <c r="A48" s="18"/>
      <c r="B48" s="42"/>
      <c r="C48" s="15" t="str">
        <f>_xll.ohRangeRetrieveError(B48)</f>
        <v/>
      </c>
      <c r="E48" s="15" t="str">
        <f>_xll.ohRangeRetrieveError(D48)</f>
        <v/>
      </c>
      <c r="F48" s="24">
        <f t="shared" si="1"/>
        <v>118.87222222222222</v>
      </c>
      <c r="G48" s="24">
        <f t="shared" si="2"/>
        <v>1</v>
      </c>
      <c r="J48" s="18">
        <f t="shared" si="3"/>
        <v>51194</v>
      </c>
      <c r="K48" s="18">
        <f t="shared" si="0"/>
        <v>51376</v>
      </c>
      <c r="L48" s="39">
        <f>_xll.qlYieldTSForwardRate('8.Piecewise_YieldCurve_EONIA'!$D$2,'10.CurvaEonia'!J48,'10.CurvaEonia'!K48,'10.CurvaEonia'!$I$3,'10.CurvaEonia'!$I$7,'10.CurvaEonia'!$I$5)</f>
        <v>1.5148071860289897E-2</v>
      </c>
    </row>
    <row r="49" spans="1:14" x14ac:dyDescent="0.25">
      <c r="A49" s="18"/>
      <c r="B49" s="42"/>
      <c r="C49" s="15" t="str">
        <f>_xll.ohRangeRetrieveError(B49)</f>
        <v/>
      </c>
      <c r="E49" s="15" t="str">
        <f>_xll.ohRangeRetrieveError(D49)</f>
        <v/>
      </c>
      <c r="F49" s="24">
        <f t="shared" si="1"/>
        <v>118.87222222222222</v>
      </c>
      <c r="G49" s="24">
        <f t="shared" si="2"/>
        <v>1</v>
      </c>
      <c r="J49" s="18">
        <f t="shared" si="3"/>
        <v>51376</v>
      </c>
      <c r="K49" s="18">
        <f t="shared" si="0"/>
        <v>51560</v>
      </c>
      <c r="L49" s="39">
        <f>_xll.qlYieldTSForwardRate('8.Piecewise_YieldCurve_EONIA'!$D$2,'10.CurvaEonia'!J49,'10.CurvaEonia'!K49,'10.CurvaEonia'!$I$3,'10.CurvaEonia'!$I$7,'10.CurvaEonia'!$I$5)</f>
        <v>1.514870765738467E-2</v>
      </c>
      <c r="M49" t="s">
        <v>118</v>
      </c>
    </row>
    <row r="50" spans="1:14" ht="30" x14ac:dyDescent="0.25">
      <c r="A50" s="18"/>
      <c r="B50" s="42"/>
      <c r="C50" s="15" t="str">
        <f>_xll.ohRangeRetrieveError(B50)</f>
        <v/>
      </c>
      <c r="E50" s="15" t="str">
        <f>_xll.ohRangeRetrieveError(D50)</f>
        <v/>
      </c>
      <c r="F50" s="24">
        <f t="shared" si="1"/>
        <v>118.87222222222222</v>
      </c>
      <c r="G50" s="24">
        <f t="shared" si="2"/>
        <v>1</v>
      </c>
      <c r="J50" s="18">
        <f t="shared" si="3"/>
        <v>51560</v>
      </c>
      <c r="K50" s="18">
        <f t="shared" si="0"/>
        <v>51741</v>
      </c>
      <c r="L50" s="39">
        <f>_xll.qlYieldTSForwardRate('8.Piecewise_YieldCurve_EONIA'!$D$2,'10.CurvaEonia'!J50,'10.CurvaEonia'!K50,'10.CurvaEonia'!$I$3,'10.CurvaEonia'!$I$7,'10.CurvaEonia'!$I$5)</f>
        <v>1.514775397507682E-2</v>
      </c>
      <c r="M50" s="14" t="s">
        <v>119</v>
      </c>
      <c r="N50" s="14" t="s">
        <v>286</v>
      </c>
    </row>
    <row r="51" spans="1:14" x14ac:dyDescent="0.25">
      <c r="A51" s="18"/>
      <c r="B51" s="42"/>
      <c r="C51" s="15" t="str">
        <f>_xll.ohRangeRetrieveError(B51)</f>
        <v/>
      </c>
      <c r="E51" s="15" t="str">
        <f>_xll.ohRangeRetrieveError(D51)</f>
        <v/>
      </c>
      <c r="F51" s="24">
        <f t="shared" si="1"/>
        <v>118.87222222222222</v>
      </c>
      <c r="G51" s="24">
        <f t="shared" si="2"/>
        <v>1</v>
      </c>
      <c r="J51" s="18">
        <f t="shared" si="3"/>
        <v>51741</v>
      </c>
      <c r="K51" s="18">
        <f t="shared" si="0"/>
        <v>51925</v>
      </c>
      <c r="L51" s="39">
        <f>_xll.qlYieldTSForwardRate('8.Piecewise_YieldCurve_EONIA'!$D$2,'10.CurvaEonia'!J51,'10.CurvaEonia'!K51,'10.CurvaEonia'!$I$3,'10.CurvaEonia'!$I$7,'10.CurvaEonia'!$I$5)</f>
        <v>1.514870765738467E-2</v>
      </c>
      <c r="M51" s="14" t="s">
        <v>314</v>
      </c>
      <c r="N51" s="14" t="s">
        <v>315</v>
      </c>
    </row>
    <row r="52" spans="1:14" ht="30" x14ac:dyDescent="0.25">
      <c r="A52" s="18"/>
      <c r="B52" s="42"/>
      <c r="C52" s="15" t="str">
        <f>_xll.ohRangeRetrieveError(B52)</f>
        <v/>
      </c>
      <c r="E52" s="15" t="str">
        <f>_xll.ohRangeRetrieveError(D52)</f>
        <v/>
      </c>
      <c r="F52" s="24">
        <f t="shared" si="1"/>
        <v>118.87222222222222</v>
      </c>
      <c r="G52" s="24">
        <f t="shared" si="2"/>
        <v>1</v>
      </c>
      <c r="J52" s="18">
        <f t="shared" si="3"/>
        <v>51925</v>
      </c>
      <c r="K52" s="18">
        <f t="shared" si="0"/>
        <v>52106</v>
      </c>
      <c r="L52" s="39">
        <f>_xll.qlYieldTSForwardRate('8.Piecewise_YieldCurve_EONIA'!$D$2,'10.CurvaEonia'!J52,'10.CurvaEonia'!K52,'10.CurvaEonia'!$I$3,'10.CurvaEonia'!$I$7,'10.CurvaEonia'!$I$5)</f>
        <v>1.3850754462746952E-2</v>
      </c>
      <c r="M52" s="14" t="s">
        <v>294</v>
      </c>
      <c r="N52" s="14" t="s">
        <v>295</v>
      </c>
    </row>
    <row r="53" spans="1:14" x14ac:dyDescent="0.25">
      <c r="A53" s="18"/>
      <c r="B53" s="42"/>
      <c r="C53" s="15" t="str">
        <f>_xll.ohRangeRetrieveError(B53)</f>
        <v/>
      </c>
      <c r="E53" s="15" t="str">
        <f>_xll.ohRangeRetrieveError(D53)</f>
        <v/>
      </c>
      <c r="F53" s="24">
        <f t="shared" si="1"/>
        <v>118.87222222222222</v>
      </c>
      <c r="G53" s="24">
        <f t="shared" si="2"/>
        <v>1</v>
      </c>
      <c r="J53" s="18">
        <f t="shared" si="3"/>
        <v>52106</v>
      </c>
      <c r="K53" s="18">
        <f t="shared" si="0"/>
        <v>52290</v>
      </c>
      <c r="L53" s="39">
        <f>_xll.qlYieldTSForwardRate('8.Piecewise_YieldCurve_EONIA'!$D$2,'10.CurvaEonia'!J53,'10.CurvaEonia'!K53,'10.CurvaEonia'!$I$3,'10.CurvaEonia'!$I$7,'10.CurvaEonia'!$I$5)</f>
        <v>1.3851551991759829E-2</v>
      </c>
      <c r="M53" s="14" t="s">
        <v>125</v>
      </c>
      <c r="N53" s="14" t="s">
        <v>126</v>
      </c>
    </row>
    <row r="54" spans="1:14" x14ac:dyDescent="0.25">
      <c r="A54" s="18"/>
      <c r="B54" s="42"/>
      <c r="C54" s="15" t="str">
        <f>_xll.ohRangeRetrieveError(B54)</f>
        <v/>
      </c>
      <c r="E54" s="15" t="str">
        <f>_xll.ohRangeRetrieveError(D54)</f>
        <v/>
      </c>
      <c r="F54" s="24">
        <f t="shared" si="1"/>
        <v>118.87222222222222</v>
      </c>
      <c r="G54" s="24">
        <f t="shared" si="2"/>
        <v>1</v>
      </c>
      <c r="J54" s="18">
        <f t="shared" si="3"/>
        <v>52290</v>
      </c>
      <c r="K54" s="18">
        <f t="shared" si="0"/>
        <v>52471</v>
      </c>
      <c r="L54" s="39">
        <f>_xll.qlYieldTSForwardRate('8.Piecewise_YieldCurve_EONIA'!$D$2,'10.CurvaEonia'!J54,'10.CurvaEonia'!K54,'10.CurvaEonia'!$I$3,'10.CurvaEonia'!$I$7,'10.CurvaEonia'!$I$5)</f>
        <v>1.3850754462746952E-2</v>
      </c>
    </row>
    <row r="55" spans="1:14" x14ac:dyDescent="0.25">
      <c r="A55" s="18"/>
      <c r="B55" s="42"/>
      <c r="C55" s="15" t="str">
        <f>_xll.ohRangeRetrieveError(B55)</f>
        <v/>
      </c>
      <c r="E55" s="15" t="str">
        <f>_xll.ohRangeRetrieveError(D55)</f>
        <v/>
      </c>
      <c r="F55" s="24">
        <f t="shared" si="1"/>
        <v>118.87222222222222</v>
      </c>
      <c r="G55" s="24">
        <f t="shared" si="2"/>
        <v>1</v>
      </c>
      <c r="J55" s="18">
        <f t="shared" si="3"/>
        <v>52471</v>
      </c>
      <c r="K55" s="18">
        <f t="shared" si="0"/>
        <v>52655</v>
      </c>
      <c r="L55" s="39">
        <f>_xll.qlYieldTSForwardRate('8.Piecewise_YieldCurve_EONIA'!$D$2,'10.CurvaEonia'!J55,'10.CurvaEonia'!K55,'10.CurvaEonia'!$I$3,'10.CurvaEonia'!$I$7,'10.CurvaEonia'!$I$5)</f>
        <v>1.3851551991759829E-2</v>
      </c>
    </row>
    <row r="56" spans="1:14" x14ac:dyDescent="0.25">
      <c r="A56" s="18"/>
      <c r="B56" s="42"/>
      <c r="C56" s="15" t="str">
        <f>_xll.ohRangeRetrieveError(B56)</f>
        <v/>
      </c>
      <c r="E56" s="15" t="str">
        <f>_xll.ohRangeRetrieveError(D56)</f>
        <v/>
      </c>
      <c r="F56" s="24">
        <f t="shared" si="1"/>
        <v>118.87222222222222</v>
      </c>
      <c r="G56" s="24">
        <f t="shared" si="2"/>
        <v>1</v>
      </c>
      <c r="J56" s="18">
        <f t="shared" si="3"/>
        <v>52655</v>
      </c>
      <c r="K56" s="18">
        <f t="shared" si="0"/>
        <v>52837</v>
      </c>
      <c r="L56" s="39">
        <f>_xll.qlYieldTSForwardRate('8.Piecewise_YieldCurve_EONIA'!$D$2,'10.CurvaEonia'!J56,'10.CurvaEonia'!K56,'10.CurvaEonia'!$I$3,'10.CurvaEonia'!$I$7,'10.CurvaEonia'!$I$5)</f>
        <v>1.3851020298952178E-2</v>
      </c>
    </row>
    <row r="57" spans="1:14" x14ac:dyDescent="0.25">
      <c r="A57" s="18"/>
      <c r="B57" s="42"/>
      <c r="C57" s="15" t="str">
        <f>_xll.ohRangeRetrieveError(B57)</f>
        <v/>
      </c>
      <c r="E57" s="15" t="str">
        <f>_xll.ohRangeRetrieveError(D57)</f>
        <v/>
      </c>
      <c r="F57" s="24">
        <f t="shared" si="1"/>
        <v>118.87222222222222</v>
      </c>
      <c r="G57" s="24">
        <f t="shared" si="2"/>
        <v>1</v>
      </c>
      <c r="J57" s="18">
        <f t="shared" si="3"/>
        <v>52837</v>
      </c>
      <c r="K57" s="18">
        <f t="shared" si="0"/>
        <v>53021</v>
      </c>
      <c r="L57" s="39">
        <f>_xll.qlYieldTSForwardRate('8.Piecewise_YieldCurve_EONIA'!$D$2,'10.CurvaEonia'!J57,'10.CurvaEonia'!K57,'10.CurvaEonia'!$I$3,'10.CurvaEonia'!$I$7,'10.CurvaEonia'!$I$5)</f>
        <v>1.3851551991760263E-2</v>
      </c>
      <c r="M57" s="13" t="s">
        <v>316</v>
      </c>
    </row>
    <row r="58" spans="1:14" x14ac:dyDescent="0.25">
      <c r="A58" s="18"/>
      <c r="B58" s="42"/>
      <c r="C58" s="15" t="str">
        <f>_xll.ohRangeRetrieveError(B58)</f>
        <v/>
      </c>
      <c r="E58" s="15" t="str">
        <f>_xll.ohRangeRetrieveError(D58)</f>
        <v/>
      </c>
      <c r="F58" s="24">
        <f t="shared" si="1"/>
        <v>118.87222222222222</v>
      </c>
      <c r="G58" s="24">
        <f t="shared" si="2"/>
        <v>1</v>
      </c>
      <c r="J58" s="18">
        <f t="shared" si="3"/>
        <v>53021</v>
      </c>
      <c r="K58" s="18">
        <f t="shared" si="0"/>
        <v>53202</v>
      </c>
      <c r="L58" s="39">
        <f>_xll.qlYieldTSForwardRate('8.Piecewise_YieldCurve_EONIA'!$D$2,'10.CurvaEonia'!J58,'10.CurvaEonia'!K58,'10.CurvaEonia'!$I$3,'10.CurvaEonia'!$I$7,'10.CurvaEonia'!$I$5)</f>
        <v>1.3850754462746952E-2</v>
      </c>
    </row>
    <row r="59" spans="1:14" x14ac:dyDescent="0.25">
      <c r="A59" s="18"/>
      <c r="B59" s="42"/>
      <c r="C59" s="15" t="str">
        <f>_xll.ohRangeRetrieveError(B59)</f>
        <v/>
      </c>
      <c r="E59" s="15" t="str">
        <f>_xll.ohRangeRetrieveError(D59)</f>
        <v/>
      </c>
      <c r="F59" s="24">
        <f t="shared" si="1"/>
        <v>118.87222222222222</v>
      </c>
      <c r="G59" s="24">
        <f t="shared" si="2"/>
        <v>1</v>
      </c>
      <c r="J59" s="18">
        <f t="shared" si="3"/>
        <v>53202</v>
      </c>
      <c r="K59" s="18">
        <f t="shared" si="0"/>
        <v>53386</v>
      </c>
      <c r="L59" s="39">
        <f>_xll.qlYieldTSForwardRate('8.Piecewise_YieldCurve_EONIA'!$D$2,'10.CurvaEonia'!J59,'10.CurvaEonia'!K59,'10.CurvaEonia'!$I$3,'10.CurvaEonia'!$I$7,'10.CurvaEonia'!$I$5)</f>
        <v>1.3851551991760263E-2</v>
      </c>
      <c r="M59" t="s">
        <v>217</v>
      </c>
    </row>
    <row r="60" spans="1:14" x14ac:dyDescent="0.25">
      <c r="A60" s="18"/>
      <c r="B60" s="42"/>
      <c r="C60" s="15" t="str">
        <f>_xll.ohRangeRetrieveError(B60)</f>
        <v/>
      </c>
      <c r="E60" s="15" t="str">
        <f>_xll.ohRangeRetrieveError(D60)</f>
        <v/>
      </c>
      <c r="F60" s="24">
        <f t="shared" si="1"/>
        <v>118.87222222222222</v>
      </c>
      <c r="G60" s="24">
        <f t="shared" si="2"/>
        <v>1</v>
      </c>
      <c r="J60" s="18">
        <f t="shared" si="3"/>
        <v>53386</v>
      </c>
      <c r="K60" s="18">
        <f t="shared" si="0"/>
        <v>53567</v>
      </c>
      <c r="L60" s="39">
        <f>_xll.qlYieldTSForwardRate('8.Piecewise_YieldCurve_EONIA'!$D$2,'10.CurvaEonia'!J60,'10.CurvaEonia'!K60,'10.CurvaEonia'!$I$3,'10.CurvaEonia'!$I$7,'10.CurvaEonia'!$I$5)</f>
        <v>1.3850754462746952E-2</v>
      </c>
      <c r="M60" t="s">
        <v>317</v>
      </c>
    </row>
    <row r="61" spans="1:14" x14ac:dyDescent="0.25">
      <c r="A61" s="18"/>
      <c r="B61" s="42"/>
      <c r="C61" s="15" t="str">
        <f>_xll.ohRangeRetrieveError(B61)</f>
        <v/>
      </c>
      <c r="E61" s="15" t="str">
        <f>_xll.ohRangeRetrieveError(D61)</f>
        <v/>
      </c>
      <c r="F61" s="24">
        <f t="shared" si="1"/>
        <v>118.87222222222222</v>
      </c>
      <c r="G61" s="24">
        <f t="shared" si="2"/>
        <v>1</v>
      </c>
      <c r="J61" s="18">
        <f t="shared" si="3"/>
        <v>53567</v>
      </c>
      <c r="K61" s="18">
        <f t="shared" si="0"/>
        <v>53751</v>
      </c>
      <c r="L61" s="39">
        <f>_xll.qlYieldTSForwardRate('8.Piecewise_YieldCurve_EONIA'!$D$2,'10.CurvaEonia'!J61,'10.CurvaEonia'!K61,'10.CurvaEonia'!$I$3,'10.CurvaEonia'!$I$7,'10.CurvaEonia'!$I$5)</f>
        <v>1.3851551991760263E-2</v>
      </c>
      <c r="M61" t="s">
        <v>109</v>
      </c>
    </row>
    <row r="62" spans="1:14" x14ac:dyDescent="0.25">
      <c r="A62" s="18"/>
      <c r="B62" s="42"/>
      <c r="C62" s="15" t="str">
        <f>_xll.ohRangeRetrieveError(B62)</f>
        <v/>
      </c>
      <c r="E62" s="15" t="str">
        <f>_xll.ohRangeRetrieveError(D62)</f>
        <v/>
      </c>
      <c r="F62" s="24">
        <f t="shared" si="1"/>
        <v>118.87222222222222</v>
      </c>
      <c r="G62" s="24">
        <f t="shared" si="2"/>
        <v>1</v>
      </c>
      <c r="J62" s="18">
        <f t="shared" si="3"/>
        <v>53751</v>
      </c>
      <c r="K62" s="18">
        <f t="shared" si="0"/>
        <v>53932</v>
      </c>
      <c r="L62" s="39">
        <f>_xll.qlYieldTSForwardRate('8.Piecewise_YieldCurve_EONIA'!$D$2,'10.CurvaEonia'!J62,'10.CurvaEonia'!K62,'10.CurvaEonia'!$I$3,'10.CurvaEonia'!$I$7,'10.CurvaEonia'!$I$5)</f>
        <v>1.2544432828247638E-2</v>
      </c>
      <c r="M62" t="s">
        <v>318</v>
      </c>
    </row>
    <row r="63" spans="1:14" x14ac:dyDescent="0.25">
      <c r="A63" s="18"/>
      <c r="B63" s="42"/>
      <c r="C63" s="15" t="str">
        <f>_xll.ohRangeRetrieveError(B63)</f>
        <v/>
      </c>
      <c r="E63" s="15" t="str">
        <f>_xll.ohRangeRetrieveError(D63)</f>
        <v/>
      </c>
      <c r="F63" s="24">
        <f t="shared" si="1"/>
        <v>118.87222222222222</v>
      </c>
      <c r="G63" s="24">
        <f t="shared" si="2"/>
        <v>1</v>
      </c>
      <c r="J63" s="18">
        <f t="shared" si="3"/>
        <v>53932</v>
      </c>
      <c r="K63" s="18">
        <f t="shared" si="0"/>
        <v>54116</v>
      </c>
      <c r="L63" s="39">
        <f>_xll.qlYieldTSForwardRate('8.Piecewise_YieldCurve_EONIA'!$D$2,'10.CurvaEonia'!J63,'10.CurvaEonia'!K63,'10.CurvaEonia'!$I$3,'10.CurvaEonia'!$I$7,'10.CurvaEonia'!$I$5)</f>
        <v>1.2545087155163512E-2</v>
      </c>
      <c r="M63" t="s">
        <v>319</v>
      </c>
    </row>
    <row r="64" spans="1:14" x14ac:dyDescent="0.25">
      <c r="A64" s="18"/>
      <c r="B64" s="42"/>
      <c r="C64" s="15" t="str">
        <f>_xll.ohRangeRetrieveError(B64)</f>
        <v/>
      </c>
      <c r="E64" s="15" t="str">
        <f>_xll.ohRangeRetrieveError(D64)</f>
        <v/>
      </c>
      <c r="F64" s="24">
        <f t="shared" si="1"/>
        <v>118.87222222222222</v>
      </c>
      <c r="G64" s="24">
        <f t="shared" si="2"/>
        <v>1</v>
      </c>
      <c r="J64" s="18">
        <f t="shared" si="3"/>
        <v>54116</v>
      </c>
      <c r="K64" s="18">
        <f t="shared" si="0"/>
        <v>54298</v>
      </c>
      <c r="L64" s="39">
        <f>_xll.qlYieldTSForwardRate('8.Piecewise_YieldCurve_EONIA'!$D$2,'10.CurvaEonia'!J64,'10.CurvaEonia'!K64,'10.CurvaEonia'!$I$3,'10.CurvaEonia'!$I$7,'10.CurvaEonia'!$I$5)</f>
        <v>1.2544650932165922E-2</v>
      </c>
      <c r="M64" t="s">
        <v>280</v>
      </c>
    </row>
    <row r="65" spans="1:14" x14ac:dyDescent="0.25">
      <c r="A65" s="18"/>
      <c r="B65" s="42"/>
      <c r="C65" s="15" t="str">
        <f>_xll.ohRangeRetrieveError(B65)</f>
        <v/>
      </c>
      <c r="E65" s="15" t="str">
        <f>_xll.ohRangeRetrieveError(D65)</f>
        <v/>
      </c>
      <c r="F65" s="24">
        <f t="shared" si="1"/>
        <v>118.87222222222222</v>
      </c>
      <c r="G65" s="24">
        <f t="shared" si="2"/>
        <v>1</v>
      </c>
      <c r="J65" s="18">
        <f t="shared" si="3"/>
        <v>54298</v>
      </c>
      <c r="K65" s="18">
        <f t="shared" si="0"/>
        <v>54482</v>
      </c>
      <c r="L65" s="39">
        <f>_xll.qlYieldTSForwardRate('8.Piecewise_YieldCurve_EONIA'!$D$2,'10.CurvaEonia'!J65,'10.CurvaEonia'!K65,'10.CurvaEonia'!$I$3,'10.CurvaEonia'!$I$7,'10.CurvaEonia'!$I$5)</f>
        <v>1.2545087155163512E-2</v>
      </c>
      <c r="M65" t="s">
        <v>281</v>
      </c>
    </row>
    <row r="66" spans="1:14" x14ac:dyDescent="0.25">
      <c r="A66" s="18"/>
      <c r="B66" s="42"/>
      <c r="C66" s="15" t="str">
        <f>_xll.ohRangeRetrieveError(B66)</f>
        <v/>
      </c>
      <c r="E66" s="15" t="str">
        <f>_xll.ohRangeRetrieveError(D66)</f>
        <v/>
      </c>
      <c r="F66" s="24">
        <f t="shared" si="1"/>
        <v>118.87222222222222</v>
      </c>
      <c r="G66" s="24">
        <f t="shared" si="2"/>
        <v>1</v>
      </c>
      <c r="J66" s="18">
        <f t="shared" si="3"/>
        <v>54482</v>
      </c>
      <c r="K66" s="18">
        <f t="shared" si="0"/>
        <v>54663</v>
      </c>
      <c r="L66" s="39">
        <f>_xll.qlYieldTSForwardRate('8.Piecewise_YieldCurve_EONIA'!$D$2,'10.CurvaEonia'!J66,'10.CurvaEonia'!K66,'10.CurvaEonia'!$I$3,'10.CurvaEonia'!$I$7,'10.CurvaEonia'!$I$5)</f>
        <v>1.2544432828247196E-2</v>
      </c>
      <c r="M66" t="s">
        <v>282</v>
      </c>
    </row>
    <row r="67" spans="1:14" x14ac:dyDescent="0.25">
      <c r="A67" s="18"/>
      <c r="B67" s="42"/>
      <c r="C67" s="15" t="str">
        <f>_xll.ohRangeRetrieveError(B67)</f>
        <v/>
      </c>
      <c r="E67" s="15" t="str">
        <f>_xll.ohRangeRetrieveError(D67)</f>
        <v/>
      </c>
      <c r="F67" s="24">
        <f t="shared" si="1"/>
        <v>118.87222222222222</v>
      </c>
      <c r="G67" s="24">
        <f t="shared" si="2"/>
        <v>1</v>
      </c>
      <c r="J67" s="18">
        <f t="shared" si="3"/>
        <v>54663</v>
      </c>
      <c r="K67" s="18">
        <f t="shared" ref="K67:K81" si="4">DATE(YEAR(J67),MONTH(J67)+6,DAY(J67))</f>
        <v>54847</v>
      </c>
      <c r="L67" s="39">
        <f>_xll.qlYieldTSForwardRate('8.Piecewise_YieldCurve_EONIA'!$D$2,'10.CurvaEonia'!J67,'10.CurvaEonia'!K67,'10.CurvaEonia'!$I$3,'10.CurvaEonia'!$I$7,'10.CurvaEonia'!$I$5)</f>
        <v>1.2545087155163077E-2</v>
      </c>
      <c r="M67" t="s">
        <v>283</v>
      </c>
    </row>
    <row r="68" spans="1:14" x14ac:dyDescent="0.25">
      <c r="A68" s="18"/>
      <c r="B68" s="42"/>
      <c r="C68" s="15" t="str">
        <f>_xll.ohRangeRetrieveError(B68)</f>
        <v/>
      </c>
      <c r="E68" s="15" t="str">
        <f>_xll.ohRangeRetrieveError(D68)</f>
        <v/>
      </c>
      <c r="F68" s="24">
        <f t="shared" ref="F68:F81" si="5">YEARFRAC($I$6,A68,2)</f>
        <v>118.87222222222222</v>
      </c>
      <c r="G68" s="24">
        <f t="shared" ref="G68:G81" si="6">EXP(-F68*B68)</f>
        <v>1</v>
      </c>
      <c r="J68" s="18">
        <f t="shared" ref="J68:J81" si="7">+K67</f>
        <v>54847</v>
      </c>
      <c r="K68" s="18">
        <f t="shared" si="4"/>
        <v>55028</v>
      </c>
      <c r="L68" s="39">
        <f>_xll.qlYieldTSForwardRate('8.Piecewise_YieldCurve_EONIA'!$D$2,'10.CurvaEonia'!J68,'10.CurvaEonia'!K68,'10.CurvaEonia'!$I$3,'10.CurvaEonia'!$I$7,'10.CurvaEonia'!$I$5)</f>
        <v>1.2544432828247638E-2</v>
      </c>
      <c r="M68" t="s">
        <v>226</v>
      </c>
    </row>
    <row r="69" spans="1:14" x14ac:dyDescent="0.25">
      <c r="A69" s="18"/>
      <c r="B69" s="42"/>
      <c r="C69" s="15" t="str">
        <f>_xll.ohRangeRetrieveError(B69)</f>
        <v/>
      </c>
      <c r="E69" s="15" t="str">
        <f>_xll.ohRangeRetrieveError(D69)</f>
        <v/>
      </c>
      <c r="F69" s="24">
        <f t="shared" si="5"/>
        <v>118.87222222222222</v>
      </c>
      <c r="G69" s="24">
        <f t="shared" si="6"/>
        <v>1</v>
      </c>
      <c r="J69" s="18">
        <f t="shared" si="7"/>
        <v>55028</v>
      </c>
      <c r="K69" s="18">
        <f t="shared" si="4"/>
        <v>55212</v>
      </c>
      <c r="L69" s="39">
        <f>_xll.qlYieldTSForwardRate('8.Piecewise_YieldCurve_EONIA'!$D$2,'10.CurvaEonia'!J69,'10.CurvaEonia'!K69,'10.CurvaEonia'!$I$3,'10.CurvaEonia'!$I$7,'10.CurvaEonia'!$I$5)</f>
        <v>1.2545087155163512E-2</v>
      </c>
    </row>
    <row r="70" spans="1:14" x14ac:dyDescent="0.25">
      <c r="A70" s="18"/>
      <c r="B70" s="42"/>
      <c r="C70" s="15" t="str">
        <f>_xll.ohRangeRetrieveError(B70)</f>
        <v/>
      </c>
      <c r="E70" s="15" t="str">
        <f>_xll.ohRangeRetrieveError(D70)</f>
        <v/>
      </c>
      <c r="F70" s="24">
        <f t="shared" si="5"/>
        <v>118.87222222222222</v>
      </c>
      <c r="G70" s="24">
        <f t="shared" si="6"/>
        <v>1</v>
      </c>
      <c r="J70" s="18">
        <f t="shared" si="7"/>
        <v>55212</v>
      </c>
      <c r="K70" s="18">
        <f t="shared" si="4"/>
        <v>55393</v>
      </c>
      <c r="L70" s="39">
        <f>_xll.qlYieldTSForwardRate('8.Piecewise_YieldCurve_EONIA'!$D$2,'10.CurvaEonia'!J70,'10.CurvaEonia'!K70,'10.CurvaEonia'!$I$3,'10.CurvaEonia'!$I$7,'10.CurvaEonia'!$I$5)</f>
        <v>1.2544432828247196E-2</v>
      </c>
      <c r="M70" t="s">
        <v>114</v>
      </c>
    </row>
    <row r="71" spans="1:14" x14ac:dyDescent="0.25">
      <c r="A71" s="18"/>
      <c r="B71" s="42"/>
      <c r="C71" s="15" t="str">
        <f>_xll.ohRangeRetrieveError(B71)</f>
        <v/>
      </c>
      <c r="E71" s="15" t="str">
        <f>_xll.ohRangeRetrieveError(D71)</f>
        <v/>
      </c>
      <c r="F71" s="24">
        <f t="shared" si="5"/>
        <v>118.87222222222222</v>
      </c>
      <c r="G71" s="24">
        <f t="shared" si="6"/>
        <v>1</v>
      </c>
      <c r="J71" s="18">
        <f t="shared" si="7"/>
        <v>55393</v>
      </c>
      <c r="K71" s="18">
        <f t="shared" si="4"/>
        <v>55577</v>
      </c>
      <c r="L71" s="39">
        <f>_xll.qlYieldTSForwardRate('8.Piecewise_YieldCurve_EONIA'!$D$2,'10.CurvaEonia'!J71,'10.CurvaEonia'!K71,'10.CurvaEonia'!$I$3,'10.CurvaEonia'!$I$7,'10.CurvaEonia'!$I$5)</f>
        <v>1.2545087155163512E-2</v>
      </c>
    </row>
    <row r="72" spans="1:14" x14ac:dyDescent="0.25">
      <c r="A72" s="18"/>
      <c r="B72" s="42"/>
      <c r="C72" s="15" t="str">
        <f>_xll.ohRangeRetrieveError(B72)</f>
        <v/>
      </c>
      <c r="E72" s="15" t="str">
        <f>_xll.ohRangeRetrieveError(D72)</f>
        <v/>
      </c>
      <c r="F72" s="24">
        <f t="shared" si="5"/>
        <v>118.87222222222222</v>
      </c>
      <c r="G72" s="24">
        <f t="shared" si="6"/>
        <v>1</v>
      </c>
      <c r="J72" s="18">
        <f t="shared" si="7"/>
        <v>55577</v>
      </c>
      <c r="K72" s="18">
        <f t="shared" si="4"/>
        <v>55759</v>
      </c>
      <c r="L72" s="39">
        <f>_xll.qlYieldTSForwardRate('8.Piecewise_YieldCurve_EONIA'!$D$2,'10.CurvaEonia'!J72,'10.CurvaEonia'!K72,'10.CurvaEonia'!$I$3,'10.CurvaEonia'!$I$7,'10.CurvaEonia'!$I$5)</f>
        <v>1.2544650932166361E-2</v>
      </c>
      <c r="M72" t="s">
        <v>324</v>
      </c>
    </row>
    <row r="73" spans="1:14" x14ac:dyDescent="0.25">
      <c r="A73" s="18"/>
      <c r="B73" s="42"/>
      <c r="C73" s="15" t="str">
        <f>_xll.ohRangeRetrieveError(B73)</f>
        <v/>
      </c>
      <c r="E73" s="15" t="str">
        <f>_xll.ohRangeRetrieveError(D73)</f>
        <v/>
      </c>
      <c r="F73" s="24">
        <f t="shared" si="5"/>
        <v>118.87222222222222</v>
      </c>
      <c r="G73" s="24">
        <f t="shared" si="6"/>
        <v>1</v>
      </c>
      <c r="J73" s="18">
        <f t="shared" si="7"/>
        <v>55759</v>
      </c>
      <c r="K73" s="18">
        <f t="shared" si="4"/>
        <v>55943</v>
      </c>
      <c r="L73" s="39">
        <f>_xll.qlYieldTSForwardRate('8.Piecewise_YieldCurve_EONIA'!$D$2,'10.CurvaEonia'!J73,'10.CurvaEonia'!K73,'10.CurvaEonia'!$I$3,'10.CurvaEonia'!$I$7,'10.CurvaEonia'!$I$5)</f>
        <v>1.2545087155163512E-2</v>
      </c>
    </row>
    <row r="74" spans="1:14" x14ac:dyDescent="0.25">
      <c r="A74" s="18"/>
      <c r="B74" s="42"/>
      <c r="C74" s="15" t="str">
        <f>_xll.ohRangeRetrieveError(B74)</f>
        <v/>
      </c>
      <c r="E74" s="15" t="str">
        <f>_xll.ohRangeRetrieveError(D74)</f>
        <v/>
      </c>
      <c r="F74" s="24">
        <f t="shared" si="5"/>
        <v>118.87222222222222</v>
      </c>
      <c r="G74" s="24">
        <f t="shared" si="6"/>
        <v>1</v>
      </c>
      <c r="J74" s="18">
        <f t="shared" si="7"/>
        <v>55943</v>
      </c>
      <c r="K74" s="18">
        <f t="shared" si="4"/>
        <v>56124</v>
      </c>
      <c r="L74" s="39">
        <f>_xll.qlYieldTSForwardRate('8.Piecewise_YieldCurve_EONIA'!$D$2,'10.CurvaEonia'!J74,'10.CurvaEonia'!K74,'10.CurvaEonia'!$I$3,'10.CurvaEonia'!$I$7,'10.CurvaEonia'!$I$5)</f>
        <v>1.2544432828247638E-2</v>
      </c>
      <c r="M74" t="s">
        <v>116</v>
      </c>
    </row>
    <row r="75" spans="1:14" x14ac:dyDescent="0.25">
      <c r="A75" s="18"/>
      <c r="B75" s="42"/>
      <c r="C75" s="15" t="str">
        <f>_xll.ohRangeRetrieveError(B75)</f>
        <v/>
      </c>
      <c r="E75" s="15" t="str">
        <f>_xll.ohRangeRetrieveError(D75)</f>
        <v/>
      </c>
      <c r="F75" s="24">
        <f t="shared" si="5"/>
        <v>118.87222222222222</v>
      </c>
      <c r="G75" s="24">
        <f t="shared" si="6"/>
        <v>1</v>
      </c>
      <c r="J75" s="18">
        <f t="shared" si="7"/>
        <v>56124</v>
      </c>
      <c r="K75" s="18">
        <f t="shared" si="4"/>
        <v>56308</v>
      </c>
      <c r="L75" s="39">
        <f>_xll.qlYieldTSForwardRate('8.Piecewise_YieldCurve_EONIA'!$D$2,'10.CurvaEonia'!J75,'10.CurvaEonia'!K75,'10.CurvaEonia'!$I$3,'10.CurvaEonia'!$I$7,'10.CurvaEonia'!$I$5)</f>
        <v>1.2545087155163512E-2</v>
      </c>
    </row>
    <row r="76" spans="1:14" x14ac:dyDescent="0.25">
      <c r="A76" s="18"/>
      <c r="B76" s="42"/>
      <c r="C76" s="15" t="str">
        <f>_xll.ohRangeRetrieveError(B76)</f>
        <v/>
      </c>
      <c r="E76" s="15" t="str">
        <f>_xll.ohRangeRetrieveError(D76)</f>
        <v/>
      </c>
      <c r="F76" s="24">
        <f t="shared" si="5"/>
        <v>118.87222222222222</v>
      </c>
      <c r="G76" s="24">
        <f t="shared" si="6"/>
        <v>1</v>
      </c>
      <c r="J76" s="18">
        <f t="shared" si="7"/>
        <v>56308</v>
      </c>
      <c r="K76" s="18">
        <f t="shared" si="4"/>
        <v>56489</v>
      </c>
      <c r="L76" s="39">
        <f>_xll.qlYieldTSForwardRate('8.Piecewise_YieldCurve_EONIA'!$D$2,'10.CurvaEonia'!J76,'10.CurvaEonia'!K76,'10.CurvaEonia'!$I$3,'10.CurvaEonia'!$I$7,'10.CurvaEonia'!$I$5)</f>
        <v>1.2544432828247638E-2</v>
      </c>
      <c r="M76" t="s">
        <v>228</v>
      </c>
    </row>
    <row r="77" spans="1:14" x14ac:dyDescent="0.25">
      <c r="A77" s="18"/>
      <c r="B77" s="42"/>
      <c r="C77" s="15" t="str">
        <f>_xll.ohRangeRetrieveError(B77)</f>
        <v/>
      </c>
      <c r="E77" s="15" t="str">
        <f>_xll.ohRangeRetrieveError(D77)</f>
        <v/>
      </c>
      <c r="F77" s="24">
        <f t="shared" si="5"/>
        <v>118.87222222222222</v>
      </c>
      <c r="G77" s="24">
        <f t="shared" si="6"/>
        <v>1</v>
      </c>
      <c r="J77" s="18">
        <f t="shared" si="7"/>
        <v>56489</v>
      </c>
      <c r="K77" s="18">
        <f t="shared" si="4"/>
        <v>56673</v>
      </c>
      <c r="L77" s="39">
        <f>_xll.qlYieldTSForwardRate('8.Piecewise_YieldCurve_EONIA'!$D$2,'10.CurvaEonia'!J77,'10.CurvaEonia'!K77,'10.CurvaEonia'!$I$3,'10.CurvaEonia'!$I$7,'10.CurvaEonia'!$I$5)</f>
        <v>1.2545087155163512E-2</v>
      </c>
    </row>
    <row r="78" spans="1:14" x14ac:dyDescent="0.25">
      <c r="A78" s="18"/>
      <c r="B78" s="42"/>
      <c r="C78" s="15" t="str">
        <f>_xll.ohRangeRetrieveError(B78)</f>
        <v/>
      </c>
      <c r="E78" s="15" t="str">
        <f>_xll.ohRangeRetrieveError(D78)</f>
        <v/>
      </c>
      <c r="F78" s="24">
        <f t="shared" si="5"/>
        <v>118.87222222222222</v>
      </c>
      <c r="G78" s="24">
        <f t="shared" si="6"/>
        <v>1</v>
      </c>
      <c r="J78" s="18">
        <f t="shared" si="7"/>
        <v>56673</v>
      </c>
      <c r="K78" s="18">
        <f t="shared" si="4"/>
        <v>56854</v>
      </c>
      <c r="L78" s="39">
        <f>_xll.qlYieldTSForwardRate('8.Piecewise_YieldCurve_EONIA'!$D$2,'10.CurvaEonia'!J78,'10.CurvaEonia'!K78,'10.CurvaEonia'!$I$3,'10.CurvaEonia'!$I$7,'10.CurvaEonia'!$I$5)</f>
        <v>1.2544432828247638E-2</v>
      </c>
      <c r="M78" t="s">
        <v>118</v>
      </c>
    </row>
    <row r="79" spans="1:14" ht="30" x14ac:dyDescent="0.25">
      <c r="A79" s="18"/>
      <c r="B79" s="42"/>
      <c r="C79" s="15" t="str">
        <f>_xll.ohRangeRetrieveError(B79)</f>
        <v/>
      </c>
      <c r="E79" s="15" t="str">
        <f>_xll.ohRangeRetrieveError(D79)</f>
        <v/>
      </c>
      <c r="F79" s="24">
        <f t="shared" si="5"/>
        <v>118.87222222222222</v>
      </c>
      <c r="G79" s="24">
        <f t="shared" si="6"/>
        <v>1</v>
      </c>
      <c r="J79" s="18">
        <f t="shared" si="7"/>
        <v>56854</v>
      </c>
      <c r="K79" s="18">
        <f t="shared" si="4"/>
        <v>57038</v>
      </c>
      <c r="L79" s="39">
        <f>_xll.qlYieldTSForwardRate('8.Piecewise_YieldCurve_EONIA'!$D$2,'10.CurvaEonia'!J79,'10.CurvaEonia'!K79,'10.CurvaEonia'!$I$3,'10.CurvaEonia'!$I$7,'10.CurvaEonia'!$I$5)</f>
        <v>1.2545087155163077E-2</v>
      </c>
      <c r="M79" s="14" t="s">
        <v>119</v>
      </c>
      <c r="N79" s="14" t="s">
        <v>286</v>
      </c>
    </row>
    <row r="80" spans="1:14" x14ac:dyDescent="0.25">
      <c r="A80" s="18"/>
      <c r="B80" s="42"/>
      <c r="C80" s="15" t="str">
        <f>_xll.ohRangeRetrieveError(B80)</f>
        <v/>
      </c>
      <c r="E80" s="15" t="str">
        <f>_xll.ohRangeRetrieveError(D80)</f>
        <v/>
      </c>
      <c r="F80" s="24">
        <f t="shared" si="5"/>
        <v>118.87222222222222</v>
      </c>
      <c r="G80" s="24">
        <f t="shared" si="6"/>
        <v>1</v>
      </c>
      <c r="J80" s="18">
        <f t="shared" si="7"/>
        <v>57038</v>
      </c>
      <c r="K80" s="18">
        <f t="shared" si="4"/>
        <v>57220</v>
      </c>
      <c r="L80" s="39">
        <f>_xll.qlYieldTSForwardRate('8.Piecewise_YieldCurve_EONIA'!$D$2,'10.CurvaEonia'!J80,'10.CurvaEonia'!K80,'10.CurvaEonia'!$I$3,'10.CurvaEonia'!$I$7,'10.CurvaEonia'!$I$5)</f>
        <v>1.2544650932165922E-2</v>
      </c>
      <c r="M80" s="14" t="s">
        <v>325</v>
      </c>
      <c r="N80" s="14" t="s">
        <v>326</v>
      </c>
    </row>
    <row r="81" spans="1:14" x14ac:dyDescent="0.25">
      <c r="A81" s="18"/>
      <c r="B81" s="42"/>
      <c r="C81" s="15" t="str">
        <f>_xll.ohRangeRetrieveError(B81)</f>
        <v/>
      </c>
      <c r="E81" s="15" t="str">
        <f>_xll.ohRangeRetrieveError(D81)</f>
        <v/>
      </c>
      <c r="F81" s="24">
        <f t="shared" si="5"/>
        <v>118.87222222222222</v>
      </c>
      <c r="G81" s="24">
        <f t="shared" si="6"/>
        <v>1</v>
      </c>
      <c r="J81" s="18">
        <f t="shared" si="7"/>
        <v>57220</v>
      </c>
      <c r="K81" s="18">
        <f t="shared" si="4"/>
        <v>57404</v>
      </c>
      <c r="L81" s="39">
        <f>_xll.qlYieldTSForwardRate('8.Piecewise_YieldCurve_EONIA'!$D$2,'10.CurvaEonia'!J81,'10.CurvaEonia'!K81,'10.CurvaEonia'!$I$3,'10.CurvaEonia'!$I$7,'10.CurvaEonia'!$I$5)</f>
        <v>1.2545087155163512E-2</v>
      </c>
      <c r="M81" s="14" t="s">
        <v>327</v>
      </c>
      <c r="N81" s="14" t="s">
        <v>328</v>
      </c>
    </row>
    <row r="82" spans="1:14" x14ac:dyDescent="0.25">
      <c r="L82" s="30"/>
      <c r="M82" s="14" t="s">
        <v>288</v>
      </c>
      <c r="N82" s="14" t="s">
        <v>329</v>
      </c>
    </row>
    <row r="83" spans="1:14" ht="60" x14ac:dyDescent="0.25">
      <c r="L83" s="30"/>
      <c r="M83" s="14" t="s">
        <v>290</v>
      </c>
      <c r="N83" s="14" t="s">
        <v>330</v>
      </c>
    </row>
    <row r="84" spans="1:14" ht="45" x14ac:dyDescent="0.25">
      <c r="L84" s="30"/>
      <c r="M84" s="14" t="s">
        <v>292</v>
      </c>
      <c r="N84" s="14" t="s">
        <v>293</v>
      </c>
    </row>
    <row r="85" spans="1:14" ht="30" x14ac:dyDescent="0.25">
      <c r="L85" s="30"/>
      <c r="M85" s="14" t="s">
        <v>294</v>
      </c>
      <c r="N85" s="14" t="s">
        <v>295</v>
      </c>
    </row>
    <row r="86" spans="1:14" x14ac:dyDescent="0.25">
      <c r="L86" s="30"/>
      <c r="M86" s="14" t="s">
        <v>125</v>
      </c>
      <c r="N86" s="14" t="s">
        <v>126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6"/>
  <sheetViews>
    <sheetView topLeftCell="B1" workbookViewId="0">
      <selection activeCell="D2" sqref="D2"/>
    </sheetView>
  </sheetViews>
  <sheetFormatPr defaultColWidth="37" defaultRowHeight="15" x14ac:dyDescent="0.25"/>
  <cols>
    <col min="4" max="4" width="51.140625" bestFit="1" customWidth="1"/>
    <col min="6" max="7" width="12" style="23" bestFit="1" customWidth="1"/>
  </cols>
  <sheetData>
    <row r="1" spans="1:18" ht="15.75" thickBot="1" x14ac:dyDescent="0.3">
      <c r="A1" s="41" t="s">
        <v>297</v>
      </c>
      <c r="B1" s="11" t="s">
        <v>302</v>
      </c>
      <c r="C1" s="22" t="s">
        <v>303</v>
      </c>
      <c r="D1" t="s">
        <v>629</v>
      </c>
      <c r="E1" s="22" t="s">
        <v>303</v>
      </c>
      <c r="F1" s="25" t="s">
        <v>322</v>
      </c>
      <c r="G1" s="25" t="s">
        <v>323</v>
      </c>
      <c r="H1" s="21" t="s">
        <v>321</v>
      </c>
      <c r="J1" s="40" t="s">
        <v>325</v>
      </c>
      <c r="K1" s="40" t="s">
        <v>327</v>
      </c>
      <c r="L1" s="40" t="s">
        <v>332</v>
      </c>
      <c r="M1" s="13" t="s">
        <v>277</v>
      </c>
    </row>
    <row r="2" spans="1:18" ht="16.5" x14ac:dyDescent="0.3">
      <c r="A2" s="18">
        <f>+'9.Curve'!F3</f>
        <v>42794</v>
      </c>
      <c r="B2" s="42">
        <f>_xll.qlYieldTSZeroRate('9.Piecewise_YieldCurve_SW6'!$D$2,'10.CurvaSwap6M'!A2,'10.CurvaSwap6M'!$I$3,'10.CurvaSwap6M'!$I$4,'10.CurvaSwap6M'!$I$5)</f>
        <v>-2.3814487431079059E-3</v>
      </c>
      <c r="C2" s="15" t="str">
        <f>_xll.ohRangeRetrieveError(B2)</f>
        <v/>
      </c>
      <c r="D2">
        <f t="array" ref="D2:D39">_xll.qlYieldTSDiscount('9.Piecewise_YieldCurve_SW6'!D2,'10.CurvaSwap6M'!A2:A39)</f>
        <v>1</v>
      </c>
      <c r="E2" s="15" t="str">
        <f>_xll.ohRangeRetrieveError(D2)</f>
        <v/>
      </c>
      <c r="F2" s="24"/>
      <c r="G2" s="31"/>
      <c r="H2" s="32" t="s">
        <v>298</v>
      </c>
      <c r="I2" s="35" t="s">
        <v>157</v>
      </c>
      <c r="J2" s="18">
        <f>+A2</f>
        <v>42794</v>
      </c>
      <c r="K2" s="18">
        <f>DATE(YEAR(J2),MONTH(J2)+6,DAY(J2))</f>
        <v>42975</v>
      </c>
      <c r="L2" s="39">
        <f>_xll.qlYieldTSForwardRate('9.Piecewise_YieldCurve_SW6'!$D$2,'10.CurvaSwap6M'!J2,'10.CurvaSwap6M'!K2,'10.CurvaSwap6M'!$I$3,'10.CurvaSwap6M'!$I$7,'10.CurvaSwap6M'!$I$5)</f>
        <v>-2.3800236113988493E-3</v>
      </c>
      <c r="M2" t="s">
        <v>217</v>
      </c>
      <c r="R2">
        <v>6</v>
      </c>
    </row>
    <row r="3" spans="1:18" ht="16.5" x14ac:dyDescent="0.3">
      <c r="A3" s="18">
        <f>+'9.Curve'!F4</f>
        <v>42978</v>
      </c>
      <c r="B3" s="42">
        <f>_xll.qlYieldTSZeroRate('9.Piecewise_YieldCurve_SW6'!$D$2,'10.CurvaSwap6M'!A3,'10.CurvaSwap6M'!$I$3,'10.CurvaSwap6M'!$I$4,'10.CurvaSwap6M'!$I$5)</f>
        <v>-2.381448743885955E-3</v>
      </c>
      <c r="C3" s="15" t="str">
        <f>_xll.ohRangeRetrieveError(B3)</f>
        <v/>
      </c>
      <c r="D3">
        <v>1.0012179259837413</v>
      </c>
      <c r="E3" s="15" t="str">
        <f>_xll.ohRangeRetrieveError(D3)</f>
        <v/>
      </c>
      <c r="F3" s="24">
        <f>YEARFRAC($I$6,A3,2)</f>
        <v>0.51111111111111107</v>
      </c>
      <c r="G3" s="31">
        <f>EXP(-F3*B3)</f>
        <v>1.0012179259837413</v>
      </c>
      <c r="H3" s="33" t="s">
        <v>299</v>
      </c>
      <c r="I3" s="36" t="s">
        <v>159</v>
      </c>
      <c r="J3" s="18">
        <f>+K2</f>
        <v>42975</v>
      </c>
      <c r="K3" s="18">
        <f t="shared" ref="K3:K66" si="0">DATE(YEAR(J3),MONTH(J3)+6,DAY(J3))</f>
        <v>43159</v>
      </c>
      <c r="L3" s="39">
        <f>_xll.qlYieldTSForwardRate('9.Piecewise_YieldCurve_SW6'!$D$2,'10.CurvaSwap6M'!J3,'10.CurvaSwap6M'!K3,'10.CurvaSwap6M'!$I$3,'10.CurvaSwap6M'!$I$7,'10.CurvaSwap6M'!$I$5)</f>
        <v>-1.7897710957347154E-3</v>
      </c>
      <c r="M3" t="s">
        <v>278</v>
      </c>
    </row>
    <row r="4" spans="1:18" ht="16.5" x14ac:dyDescent="0.3">
      <c r="A4" s="18">
        <f>+'9.Curve'!F5</f>
        <v>43069</v>
      </c>
      <c r="B4" s="42">
        <f>_xll.qlYieldTSZeroRate('9.Piecewise_YieldCurve_SW6'!$D$2,'10.CurvaSwap6M'!A4,'10.CurvaSwap6M'!$I$3,'10.CurvaSwap6M'!$I$4,'10.CurvaSwap6M'!$I$5)</f>
        <v>-2.1815805748742864E-3</v>
      </c>
      <c r="C4" s="15" t="str">
        <f>_xll.ohRangeRetrieveError(B4)</f>
        <v/>
      </c>
      <c r="D4">
        <v>1.0016678745194332</v>
      </c>
      <c r="E4" s="15" t="str">
        <f>_xll.ohRangeRetrieveError(D4)</f>
        <v/>
      </c>
      <c r="F4" s="24">
        <f t="shared" ref="F4:F67" si="1">YEARFRAC($I$6,A4,2)</f>
        <v>0.76388888888888884</v>
      </c>
      <c r="G4" s="31">
        <f t="shared" ref="G4:G67" si="2">EXP(-F4*B4)</f>
        <v>1.0016678745194332</v>
      </c>
      <c r="H4" s="33" t="s">
        <v>290</v>
      </c>
      <c r="I4" s="36" t="s">
        <v>300</v>
      </c>
      <c r="J4" s="18">
        <f t="shared" ref="J4:J67" si="3">+K3</f>
        <v>43159</v>
      </c>
      <c r="K4" s="18">
        <f t="shared" si="0"/>
        <v>43340</v>
      </c>
      <c r="L4" s="39">
        <f>_xll.qlYieldTSForwardRate('9.Piecewise_YieldCurve_SW6'!$D$2,'10.CurvaSwap6M'!J4,'10.CurvaSwap6M'!K4,'10.CurvaSwap6M'!$I$3,'10.CurvaSwap6M'!$I$7,'10.CurvaSwap6M'!$I$5)</f>
        <v>-1.300007043252074E-3</v>
      </c>
      <c r="M4" t="s">
        <v>109</v>
      </c>
    </row>
    <row r="5" spans="1:18" ht="16.5" x14ac:dyDescent="0.3">
      <c r="A5" s="18">
        <f>+'9.Curve'!F6</f>
        <v>43159</v>
      </c>
      <c r="B5" s="42">
        <f>_xll.qlYieldTSZeroRate('9.Piecewise_YieldCurve_SW6'!$D$2,'10.CurvaSwap6M'!A5,'10.CurvaSwap6M'!$I$3,'10.CurvaSwap6M'!$I$4,'10.CurvaSwap6M'!$I$5)</f>
        <v>-2.0835912919211722E-3</v>
      </c>
      <c r="C5" s="15" t="str">
        <f>_xll.ohRangeRetrieveError(B5)</f>
        <v/>
      </c>
      <c r="D5">
        <v>1.0021147630236156</v>
      </c>
      <c r="E5" s="15" t="str">
        <f>_xll.ohRangeRetrieveError(D5)</f>
        <v/>
      </c>
      <c r="F5" s="24">
        <f t="shared" si="1"/>
        <v>1.0138888888888888</v>
      </c>
      <c r="G5" s="31">
        <f t="shared" si="2"/>
        <v>1.0021147630236156</v>
      </c>
      <c r="H5" s="33" t="s">
        <v>292</v>
      </c>
      <c r="I5" s="36" t="s">
        <v>301</v>
      </c>
      <c r="J5" s="18">
        <f t="shared" si="3"/>
        <v>43340</v>
      </c>
      <c r="K5" s="18">
        <f t="shared" si="0"/>
        <v>43524</v>
      </c>
      <c r="L5" s="39">
        <f>_xll.qlYieldTSForwardRate('9.Piecewise_YieldCurve_SW6'!$D$2,'10.CurvaSwap6M'!J5,'10.CurvaSwap6M'!K5,'10.CurvaSwap6M'!$I$3,'10.CurvaSwap6M'!$I$7,'10.CurvaSwap6M'!$I$5)</f>
        <v>-7.8847687582539472E-4</v>
      </c>
      <c r="M5" t="s">
        <v>279</v>
      </c>
    </row>
    <row r="6" spans="1:18" ht="16.5" x14ac:dyDescent="0.3">
      <c r="A6" s="18">
        <f>+'9.Curve'!F7</f>
        <v>43343</v>
      </c>
      <c r="B6" s="42">
        <f>_xll.qlYieldTSZeroRate('9.Piecewise_YieldCurve_SW6'!$D$2,'10.CurvaSwap6M'!A6,'10.CurvaSwap6M'!$I$3,'10.CurvaSwap6M'!$I$4,'10.CurvaSwap6M'!$I$5)</f>
        <v>-1.8211117018679028E-3</v>
      </c>
      <c r="C6" s="15" t="str">
        <f>_xll.ohRangeRetrieveError(B6)</f>
        <v/>
      </c>
      <c r="D6">
        <v>1.0027810553248202</v>
      </c>
      <c r="E6" s="15" t="str">
        <f>_xll.ohRangeRetrieveError(D6)</f>
        <v/>
      </c>
      <c r="F6" s="24">
        <f t="shared" si="1"/>
        <v>1.5249999999999999</v>
      </c>
      <c r="G6" s="31">
        <f t="shared" si="2"/>
        <v>1.0027810553248202</v>
      </c>
      <c r="H6" s="33" t="s">
        <v>320</v>
      </c>
      <c r="I6" s="37">
        <f>+'9.Curve'!A3</f>
        <v>42794</v>
      </c>
      <c r="J6" s="18">
        <f t="shared" si="3"/>
        <v>43524</v>
      </c>
      <c r="K6" s="18">
        <f t="shared" si="0"/>
        <v>43705</v>
      </c>
      <c r="L6" s="39">
        <f>_xll.qlYieldTSForwardRate('9.Piecewise_YieldCurve_SW6'!$D$2,'10.CurvaSwap6M'!J6,'10.CurvaSwap6M'!K6,'10.CurvaSwap6M'!$I$3,'10.CurvaSwap6M'!$I$7,'10.CurvaSwap6M'!$I$5)</f>
        <v>3.9277323056913563E-4</v>
      </c>
      <c r="M6" t="s">
        <v>280</v>
      </c>
    </row>
    <row r="7" spans="1:18" ht="17.25" thickBot="1" x14ac:dyDescent="0.35">
      <c r="A7" s="18">
        <f>+'9.Curve'!F8</f>
        <v>43524</v>
      </c>
      <c r="B7" s="42">
        <f>_xll.qlYieldTSZeroRate('9.Piecewise_YieldCurve_SW6'!$D$2,'10.CurvaSwap6M'!A7,'10.CurvaSwap6M'!$I$3,'10.CurvaSwap6M'!$I$4,'10.CurvaSwap6M'!$I$5)</f>
        <v>-1.5630109789180951E-3</v>
      </c>
      <c r="C7" s="15" t="str">
        <f>_xll.ohRangeRetrieveError(B7)</f>
        <v/>
      </c>
      <c r="D7">
        <v>1.0031744669115941</v>
      </c>
      <c r="E7" s="15" t="str">
        <f>_xll.ohRangeRetrieveError(D7)</f>
        <v/>
      </c>
      <c r="F7" s="24">
        <f t="shared" si="1"/>
        <v>2.0277777777777777</v>
      </c>
      <c r="G7" s="31">
        <f t="shared" si="2"/>
        <v>1.0031744669115941</v>
      </c>
      <c r="H7" s="34" t="s">
        <v>331</v>
      </c>
      <c r="I7" s="38" t="s">
        <v>22</v>
      </c>
      <c r="J7" s="18">
        <f t="shared" si="3"/>
        <v>43705</v>
      </c>
      <c r="K7" s="18">
        <f t="shared" si="0"/>
        <v>43889</v>
      </c>
      <c r="L7" s="39">
        <f>_xll.qlYieldTSForwardRate('9.Piecewise_YieldCurve_SW6'!$D$2,'10.CurvaSwap6M'!J7,'10.CurvaSwap6M'!K7,'10.CurvaSwap6M'!$I$3,'10.CurvaSwap6M'!$I$7,'10.CurvaSwap6M'!$I$5)</f>
        <v>3.9277387332211597E-4</v>
      </c>
      <c r="M7" t="s">
        <v>281</v>
      </c>
    </row>
    <row r="8" spans="1:18" x14ac:dyDescent="0.25">
      <c r="A8" s="18">
        <f>+'9.Curve'!F9</f>
        <v>43889</v>
      </c>
      <c r="B8" s="42">
        <f>_xll.qlYieldTSZeroRate('9.Piecewise_YieldCurve_SW6'!$D$2,'10.CurvaSwap6M'!A8,'10.CurvaSwap6M'!$I$3,'10.CurvaSwap6M'!$I$4,'10.CurvaSwap6M'!$I$5)</f>
        <v>-9.1109583470998722E-4</v>
      </c>
      <c r="C8" s="15" t="str">
        <f>_xll.ohRangeRetrieveError(B8)</f>
        <v/>
      </c>
      <c r="D8">
        <v>1.002775093292966</v>
      </c>
      <c r="E8" s="15" t="str">
        <f>_xll.ohRangeRetrieveError(D8)</f>
        <v/>
      </c>
      <c r="F8" s="24">
        <f t="shared" si="1"/>
        <v>3.0416666666666665</v>
      </c>
      <c r="G8" s="24">
        <f t="shared" si="2"/>
        <v>1.002775093292966</v>
      </c>
      <c r="J8" s="18">
        <f t="shared" si="3"/>
        <v>43889</v>
      </c>
      <c r="K8" s="18">
        <f t="shared" si="0"/>
        <v>44071</v>
      </c>
      <c r="L8" s="39">
        <f>_xll.qlYieldTSForwardRate('9.Piecewise_YieldCurve_SW6'!$D$2,'10.CurvaSwap6M'!J8,'10.CurvaSwap6M'!K8,'10.CurvaSwap6M'!$I$3,'10.CurvaSwap6M'!$I$7,'10.CurvaSwap6M'!$I$5)</f>
        <v>2.4456908458860447E-3</v>
      </c>
      <c r="M8" t="s">
        <v>282</v>
      </c>
    </row>
    <row r="9" spans="1:18" x14ac:dyDescent="0.25">
      <c r="A9" s="18">
        <f>+'9.Curve'!F10</f>
        <v>44253</v>
      </c>
      <c r="B9" s="42">
        <f>_xll.qlYieldTSZeroRate('9.Piecewise_YieldCurve_SW6'!$D$2,'10.CurvaSwap6M'!A9,'10.CurvaSwap6M'!$I$3,'10.CurvaSwap6M'!$I$4,'10.CurvaSwap6M'!$I$5)</f>
        <v>-7.4001626782193542E-5</v>
      </c>
      <c r="C9" s="15" t="str">
        <f>_xll.ohRangeRetrieveError(B9)</f>
        <v/>
      </c>
      <c r="D9">
        <v>1.0002999571266871</v>
      </c>
      <c r="E9" s="15" t="str">
        <f>_xll.ohRangeRetrieveError(D9)</f>
        <v/>
      </c>
      <c r="F9" s="24">
        <f t="shared" si="1"/>
        <v>4.052777777777778</v>
      </c>
      <c r="G9" s="24">
        <f t="shared" si="2"/>
        <v>1.0002999571266871</v>
      </c>
      <c r="J9" s="18">
        <f t="shared" si="3"/>
        <v>44071</v>
      </c>
      <c r="K9" s="18">
        <f t="shared" si="0"/>
        <v>44255</v>
      </c>
      <c r="L9" s="39">
        <f>_xll.qlYieldTSForwardRate('9.Piecewise_YieldCurve_SW6'!$D$2,'10.CurvaSwap6M'!J9,'10.CurvaSwap6M'!K9,'10.CurvaSwap6M'!$I$3,'10.CurvaSwap6M'!$I$7,'10.CurvaSwap6M'!$I$5)</f>
        <v>2.4742882132749275E-3</v>
      </c>
      <c r="M9" t="s">
        <v>283</v>
      </c>
    </row>
    <row r="10" spans="1:18" x14ac:dyDescent="0.25">
      <c r="A10" s="18">
        <f>+'9.Curve'!F11</f>
        <v>44620</v>
      </c>
      <c r="B10" s="42">
        <f>_xll.qlYieldTSZeroRate('9.Piecewise_YieldCurve_SW6'!$D$2,'10.CurvaSwap6M'!A10,'10.CurvaSwap6M'!$I$3,'10.CurvaSwap6M'!$I$4,'10.CurvaSwap6M'!$I$5)</f>
        <v>9.5993136987061907E-4</v>
      </c>
      <c r="C10" s="15" t="str">
        <f>_xll.ohRangeRetrieveError(B10)</f>
        <v/>
      </c>
      <c r="D10">
        <v>0.99514284906770856</v>
      </c>
      <c r="E10" s="15" t="str">
        <f>_xll.ohRangeRetrieveError(D10)</f>
        <v/>
      </c>
      <c r="F10" s="24">
        <f t="shared" si="1"/>
        <v>5.072222222222222</v>
      </c>
      <c r="G10" s="24">
        <f t="shared" si="2"/>
        <v>0.99514284906770867</v>
      </c>
      <c r="J10" s="18">
        <f t="shared" si="3"/>
        <v>44255</v>
      </c>
      <c r="K10" s="18">
        <f t="shared" si="0"/>
        <v>44436</v>
      </c>
      <c r="L10" s="39">
        <f>_xll.qlYieldTSForwardRate('9.Piecewise_YieldCurve_SW6'!$D$2,'10.CurvaSwap6M'!J10,'10.CurvaSwap6M'!K10,'10.CurvaSwap6M'!$I$3,'10.CurvaSwap6M'!$I$7,'10.CurvaSwap6M'!$I$5)</f>
        <v>5.076776258074729E-3</v>
      </c>
      <c r="M10" t="s">
        <v>226</v>
      </c>
    </row>
    <row r="11" spans="1:18" x14ac:dyDescent="0.25">
      <c r="A11" s="18">
        <f>+'9.Curve'!F12</f>
        <v>44985</v>
      </c>
      <c r="B11" s="42">
        <f>_xll.qlYieldTSZeroRate('9.Piecewise_YieldCurve_SW6'!$D$2,'10.CurvaSwap6M'!A11,'10.CurvaSwap6M'!$I$3,'10.CurvaSwap6M'!$I$4,'10.CurvaSwap6M'!$I$5)</f>
        <v>2.0654785413820125E-3</v>
      </c>
      <c r="C11" s="15" t="str">
        <f>_xll.ohRangeRetrieveError(B11)</f>
        <v/>
      </c>
      <c r="D11">
        <v>0.98750794970956224</v>
      </c>
      <c r="E11" s="15" t="str">
        <f>_xll.ohRangeRetrieveError(D11)</f>
        <v/>
      </c>
      <c r="F11" s="24">
        <f t="shared" si="1"/>
        <v>6.0861111111111112</v>
      </c>
      <c r="G11" s="24">
        <f t="shared" si="2"/>
        <v>0.98750794970956235</v>
      </c>
      <c r="J11" s="18">
        <f t="shared" si="3"/>
        <v>44436</v>
      </c>
      <c r="K11" s="18">
        <f t="shared" si="0"/>
        <v>44620</v>
      </c>
      <c r="L11" s="39">
        <f>_xll.qlYieldTSForwardRate('9.Piecewise_YieldCurve_SW6'!$D$2,'10.CurvaSwap6M'!J11,'10.CurvaSwap6M'!K11,'10.CurvaSwap6M'!$I$3,'10.CurvaSwap6M'!$I$7,'10.CurvaSwap6M'!$I$5)</f>
        <v>5.0768835585702152E-3</v>
      </c>
    </row>
    <row r="12" spans="1:18" x14ac:dyDescent="0.25">
      <c r="A12" s="18">
        <f>+'9.Curve'!F13</f>
        <v>45350</v>
      </c>
      <c r="B12" s="42">
        <f>_xll.qlYieldTSZeroRate('9.Piecewise_YieldCurve_SW6'!$D$2,'10.CurvaSwap6M'!A12,'10.CurvaSwap6M'!$I$3,'10.CurvaSwap6M'!$I$4,'10.CurvaSwap6M'!$I$5)</f>
        <v>3.2448042192742038E-3</v>
      </c>
      <c r="C12" s="15" t="str">
        <f>_xll.ohRangeRetrieveError(B12)</f>
        <v/>
      </c>
      <c r="D12">
        <v>0.97722524105185626</v>
      </c>
      <c r="E12" s="15" t="str">
        <f>_xll.ohRangeRetrieveError(D12)</f>
        <v/>
      </c>
      <c r="F12" s="24">
        <f t="shared" si="1"/>
        <v>7.1</v>
      </c>
      <c r="G12" s="24">
        <f t="shared" si="2"/>
        <v>0.97722524105185615</v>
      </c>
      <c r="J12" s="18">
        <f t="shared" si="3"/>
        <v>44620</v>
      </c>
      <c r="K12" s="18">
        <f t="shared" si="0"/>
        <v>44801</v>
      </c>
      <c r="L12" s="39">
        <f>_xll.qlYieldTSForwardRate('9.Piecewise_YieldCurve_SW6'!$D$2,'10.CurvaSwap6M'!J12,'10.CurvaSwap6M'!K12,'10.CurvaSwap6M'!$I$3,'10.CurvaSwap6M'!$I$7,'10.CurvaSwap6M'!$I$5)</f>
        <v>7.6107676509780267E-3</v>
      </c>
      <c r="M12" t="s">
        <v>114</v>
      </c>
    </row>
    <row r="13" spans="1:18" x14ac:dyDescent="0.25">
      <c r="A13" s="18">
        <f>+'9.Curve'!F14</f>
        <v>45716</v>
      </c>
      <c r="B13" s="42">
        <f>_xll.qlYieldTSZeroRate('9.Piecewise_YieldCurve_SW6'!$D$2,'10.CurvaSwap6M'!A13,'10.CurvaSwap6M'!$I$3,'10.CurvaSwap6M'!$I$4,'10.CurvaSwap6M'!$I$5)</f>
        <v>4.4590832865650798E-3</v>
      </c>
      <c r="C13" s="15" t="str">
        <f>_xll.ohRangeRetrieveError(B13)</f>
        <v/>
      </c>
      <c r="D13">
        <v>0.96445423938039454</v>
      </c>
      <c r="E13" s="15" t="str">
        <f>_xll.ohRangeRetrieveError(D13)</f>
        <v/>
      </c>
      <c r="F13" s="24">
        <f t="shared" si="1"/>
        <v>8.1166666666666671</v>
      </c>
      <c r="G13" s="24">
        <f t="shared" si="2"/>
        <v>0.96445423938039454</v>
      </c>
      <c r="J13" s="18">
        <f t="shared" si="3"/>
        <v>44801</v>
      </c>
      <c r="K13" s="18">
        <f t="shared" si="0"/>
        <v>44985</v>
      </c>
      <c r="L13" s="39">
        <f>_xll.qlYieldTSForwardRate('9.Piecewise_YieldCurve_SW6'!$D$2,'10.CurvaSwap6M'!J13,'10.CurvaSwap6M'!K13,'10.CurvaSwap6M'!$I$3,'10.CurvaSwap6M'!$I$7,'10.CurvaSwap6M'!$I$5)</f>
        <v>7.6110086979113535E-3</v>
      </c>
    </row>
    <row r="14" spans="1:18" x14ac:dyDescent="0.25">
      <c r="A14" s="18">
        <f>+'9.Curve'!F15</f>
        <v>46080</v>
      </c>
      <c r="B14" s="42">
        <f>_xll.qlYieldTSZeroRate('9.Piecewise_YieldCurve_SW6'!$D$2,'10.CurvaSwap6M'!A14,'10.CurvaSwap6M'!$I$3,'10.CurvaSwap6M'!$I$4,'10.CurvaSwap6M'!$I$5)</f>
        <v>5.6326856938436727E-3</v>
      </c>
      <c r="C14" s="15" t="str">
        <f>_xll.ohRangeRetrieveError(B14)</f>
        <v/>
      </c>
      <c r="D14">
        <v>0.94988542843728851</v>
      </c>
      <c r="E14" s="15" t="str">
        <f>_xll.ohRangeRetrieveError(D14)</f>
        <v/>
      </c>
      <c r="F14" s="24">
        <f t="shared" si="1"/>
        <v>9.1277777777777782</v>
      </c>
      <c r="G14" s="24">
        <f t="shared" si="2"/>
        <v>0.94988542843728851</v>
      </c>
      <c r="J14" s="18">
        <f t="shared" si="3"/>
        <v>44985</v>
      </c>
      <c r="K14" s="18">
        <f t="shared" si="0"/>
        <v>45166</v>
      </c>
      <c r="L14" s="39">
        <f>_xll.qlYieldTSForwardRate('9.Piecewise_YieldCurve_SW6'!$D$2,'10.CurvaSwap6M'!J14,'10.CurvaSwap6M'!K14,'10.CurvaSwap6M'!$I$3,'10.CurvaSwap6M'!$I$7,'10.CurvaSwap6M'!$I$5)</f>
        <v>1.0350829959347118E-2</v>
      </c>
      <c r="M14" t="s">
        <v>284</v>
      </c>
    </row>
    <row r="15" spans="1:18" x14ac:dyDescent="0.25">
      <c r="A15" s="18">
        <f>+'9.Curve'!F16</f>
        <v>46444</v>
      </c>
      <c r="B15" s="42">
        <f>_xll.qlYieldTSZeroRate('9.Piecewise_YieldCurve_SW6'!$D$2,'10.CurvaSwap6M'!A15,'10.CurvaSwap6M'!$I$3,'10.CurvaSwap6M'!$I$4,'10.CurvaSwap6M'!$I$5)</f>
        <v>6.7240005408237243E-3</v>
      </c>
      <c r="C15" s="15" t="str">
        <f>_xll.ohRangeRetrieveError(B15)</f>
        <v/>
      </c>
      <c r="D15">
        <v>0.93409802506350226</v>
      </c>
      <c r="E15" s="15" t="str">
        <f>_xll.ohRangeRetrieveError(D15)</f>
        <v/>
      </c>
      <c r="F15" s="24">
        <f t="shared" si="1"/>
        <v>10.138888888888889</v>
      </c>
      <c r="G15" s="24">
        <f t="shared" si="2"/>
        <v>0.93409802506350215</v>
      </c>
      <c r="J15" s="18">
        <f t="shared" si="3"/>
        <v>45166</v>
      </c>
      <c r="K15" s="18">
        <f t="shared" si="0"/>
        <v>45350</v>
      </c>
      <c r="L15" s="39">
        <f>_xll.qlYieldTSForwardRate('9.Piecewise_YieldCurve_SW6'!$D$2,'10.CurvaSwap6M'!J15,'10.CurvaSwap6M'!K15,'10.CurvaSwap6M'!$I$3,'10.CurvaSwap6M'!$I$7,'10.CurvaSwap6M'!$I$5)</f>
        <v>1.0351275615071867E-2</v>
      </c>
    </row>
    <row r="16" spans="1:18" x14ac:dyDescent="0.25">
      <c r="A16" s="18">
        <f>+'9.Curve'!F17</f>
        <v>46811</v>
      </c>
      <c r="B16" s="42">
        <f>_xll.qlYieldTSZeroRate('9.Piecewise_YieldCurve_SW6'!$D$2,'10.CurvaSwap6M'!A16,'10.CurvaSwap6M'!$I$3,'10.CurvaSwap6M'!$I$4,'10.CurvaSwap6M'!$I$5)</f>
        <v>7.7320771037888382E-3</v>
      </c>
      <c r="C16" s="15" t="str">
        <f>_xll.ohRangeRetrieveError(B16)</f>
        <v/>
      </c>
      <c r="D16">
        <v>0.91734000687862749</v>
      </c>
      <c r="E16" s="15" t="str">
        <f>_xll.ohRangeRetrieveError(D16)</f>
        <v/>
      </c>
      <c r="F16" s="24">
        <f t="shared" si="1"/>
        <v>11.158333333333333</v>
      </c>
      <c r="G16" s="24">
        <f t="shared" si="2"/>
        <v>0.91734000687862749</v>
      </c>
      <c r="J16" s="18">
        <f t="shared" si="3"/>
        <v>45350</v>
      </c>
      <c r="K16" s="18">
        <f t="shared" si="0"/>
        <v>45532</v>
      </c>
      <c r="L16" s="39">
        <f>_xll.qlYieldTSForwardRate('9.Piecewise_YieldCurve_SW6'!$D$2,'10.CurvaSwap6M'!J16,'10.CurvaSwap6M'!K16,'10.CurvaSwap6M'!$I$3,'10.CurvaSwap6M'!$I$7,'10.CurvaSwap6M'!$I$5)</f>
        <v>1.2981543306675954E-2</v>
      </c>
      <c r="M16" t="s">
        <v>116</v>
      </c>
    </row>
    <row r="17" spans="1:14" x14ac:dyDescent="0.25">
      <c r="A17" s="18">
        <f>+'9.Curve'!F18</f>
        <v>47177</v>
      </c>
      <c r="B17" s="42">
        <f>_xll.qlYieldTSZeroRate('9.Piecewise_YieldCurve_SW6'!$D$2,'10.CurvaSwap6M'!A17,'10.CurvaSwap6M'!$I$3,'10.CurvaSwap6M'!$I$4,'10.CurvaSwap6M'!$I$5)</f>
        <v>8.6225265155784308E-3</v>
      </c>
      <c r="C17" s="15" t="str">
        <f>_xll.ohRangeRetrieveError(B17)</f>
        <v/>
      </c>
      <c r="D17">
        <v>0.90034319521593864</v>
      </c>
      <c r="E17" s="15" t="str">
        <f>_xll.ohRangeRetrieveError(D17)</f>
        <v/>
      </c>
      <c r="F17" s="24">
        <f t="shared" si="1"/>
        <v>12.175000000000001</v>
      </c>
      <c r="G17" s="24">
        <f t="shared" si="2"/>
        <v>0.90034319521593864</v>
      </c>
      <c r="J17" s="18">
        <f t="shared" si="3"/>
        <v>45532</v>
      </c>
      <c r="K17" s="18">
        <f t="shared" si="0"/>
        <v>45716</v>
      </c>
      <c r="L17" s="39">
        <f>_xll.qlYieldTSForwardRate('9.Piecewise_YieldCurve_SW6'!$D$2,'10.CurvaSwap6M'!J17,'10.CurvaSwap6M'!K17,'10.CurvaSwap6M'!$I$3,'10.CurvaSwap6M'!$I$7,'10.CurvaSwap6M'!$I$5)</f>
        <v>1.2982010409571833E-2</v>
      </c>
    </row>
    <row r="18" spans="1:14" x14ac:dyDescent="0.25">
      <c r="A18" s="18">
        <f>+'9.Curve'!F19</f>
        <v>47542</v>
      </c>
      <c r="B18" s="42">
        <f>_xll.qlYieldTSZeroRate('9.Piecewise_YieldCurve_SW6'!$D$2,'10.CurvaSwap6M'!A18,'10.CurvaSwap6M'!$I$3,'10.CurvaSwap6M'!$I$4,'10.CurvaSwap6M'!$I$5)</f>
        <v>9.407466651305766E-3</v>
      </c>
      <c r="C18" s="15" t="str">
        <f>_xll.ohRangeRetrieveError(B18)</f>
        <v/>
      </c>
      <c r="D18">
        <v>0.88331444458260511</v>
      </c>
      <c r="E18" s="15" t="str">
        <f>_xll.ohRangeRetrieveError(D18)</f>
        <v/>
      </c>
      <c r="F18" s="24">
        <f t="shared" si="1"/>
        <v>13.188888888888888</v>
      </c>
      <c r="G18" s="24">
        <f t="shared" si="2"/>
        <v>0.88331444458260511</v>
      </c>
      <c r="J18" s="18">
        <f t="shared" si="3"/>
        <v>45716</v>
      </c>
      <c r="K18" s="18">
        <f t="shared" si="0"/>
        <v>45897</v>
      </c>
      <c r="L18" s="39">
        <f>_xll.qlYieldTSForwardRate('9.Piecewise_YieldCurve_SW6'!$D$2,'10.CurvaSwap6M'!J18,'10.CurvaSwap6M'!K18,'10.CurvaSwap6M'!$I$3,'10.CurvaSwap6M'!$I$7,'10.CurvaSwap6M'!$I$5)</f>
        <v>1.5110859341072111E-2</v>
      </c>
      <c r="M18" t="s">
        <v>285</v>
      </c>
    </row>
    <row r="19" spans="1:14" x14ac:dyDescent="0.25">
      <c r="A19" s="18">
        <f>+'9.Curve'!F20</f>
        <v>47907</v>
      </c>
      <c r="B19" s="42">
        <f>_xll.qlYieldTSZeroRate('9.Piecewise_YieldCurve_SW6'!$D$2,'10.CurvaSwap6M'!A19,'10.CurvaSwap6M'!$I$3,'10.CurvaSwap6M'!$I$4,'10.CurvaSwap6M'!$I$5)</f>
        <v>1.0082716455895662E-2</v>
      </c>
      <c r="C19" s="15" t="str">
        <f>_xll.ohRangeRetrieveError(B19)</f>
        <v/>
      </c>
      <c r="D19">
        <v>0.86657849858349134</v>
      </c>
      <c r="E19" s="15" t="str">
        <f>_xll.ohRangeRetrieveError(D19)</f>
        <v/>
      </c>
      <c r="F19" s="24">
        <f t="shared" si="1"/>
        <v>14.202777777777778</v>
      </c>
      <c r="G19" s="24">
        <f t="shared" si="2"/>
        <v>0.86657849858349123</v>
      </c>
      <c r="J19" s="18">
        <f t="shared" si="3"/>
        <v>45897</v>
      </c>
      <c r="K19" s="18">
        <f t="shared" si="0"/>
        <v>46081</v>
      </c>
      <c r="L19" s="39">
        <f>_xll.qlYieldTSForwardRate('9.Piecewise_YieldCurve_SW6'!$D$2,'10.CurvaSwap6M'!J19,'10.CurvaSwap6M'!K19,'10.CurvaSwap6M'!$I$3,'10.CurvaSwap6M'!$I$7,'10.CurvaSwap6M'!$I$5)</f>
        <v>1.5120144410736764E-2</v>
      </c>
    </row>
    <row r="20" spans="1:14" x14ac:dyDescent="0.25">
      <c r="A20" s="18">
        <f>+'9.Curve'!F21</f>
        <v>48271</v>
      </c>
      <c r="B20" s="42">
        <f>_xll.qlYieldTSZeroRate('9.Piecewise_YieldCurve_SW6'!$D$2,'10.CurvaSwap6M'!A20,'10.CurvaSwap6M'!$I$3,'10.CurvaSwap6M'!$I$4,'10.CurvaSwap6M'!$I$5)</f>
        <v>1.0656728926799714E-2</v>
      </c>
      <c r="C20" s="15" t="str">
        <f>_xll.ohRangeRetrieveError(B20)</f>
        <v/>
      </c>
      <c r="D20">
        <v>0.85033040793412973</v>
      </c>
      <c r="E20" s="15" t="str">
        <f>_xll.ohRangeRetrieveError(D20)</f>
        <v/>
      </c>
      <c r="F20" s="24">
        <f t="shared" si="1"/>
        <v>15.213888888888889</v>
      </c>
      <c r="G20" s="24">
        <f t="shared" si="2"/>
        <v>0.85033040793412973</v>
      </c>
      <c r="J20" s="18">
        <f t="shared" si="3"/>
        <v>46081</v>
      </c>
      <c r="K20" s="18">
        <f t="shared" si="0"/>
        <v>46262</v>
      </c>
      <c r="L20" s="39">
        <f>_xll.qlYieldTSForwardRate('9.Piecewise_YieldCurve_SW6'!$D$2,'10.CurvaSwap6M'!J20,'10.CurvaSwap6M'!K20,'10.CurvaSwap6M'!$I$3,'10.CurvaSwap6M'!$I$7,'10.CurvaSwap6M'!$I$5)</f>
        <v>1.6645078640791112E-2</v>
      </c>
      <c r="M20" t="s">
        <v>118</v>
      </c>
    </row>
    <row r="21" spans="1:14" ht="30" x14ac:dyDescent="0.25">
      <c r="A21" s="18">
        <f>+'9.Curve'!F22</f>
        <v>48638</v>
      </c>
      <c r="B21" s="42">
        <f>_xll.qlYieldTSZeroRate('9.Piecewise_YieldCurve_SW6'!$D$2,'10.CurvaSwap6M'!A21,'10.CurvaSwap6M'!$I$3,'10.CurvaSwap6M'!$I$4,'10.CurvaSwap6M'!$I$5)</f>
        <v>1.1147042929285721E-2</v>
      </c>
      <c r="C21" s="15" t="str">
        <f>_xll.ohRangeRetrieveError(B21)</f>
        <v/>
      </c>
      <c r="D21">
        <v>0.83447402436214524</v>
      </c>
      <c r="E21" s="15" t="str">
        <f>_xll.ohRangeRetrieveError(D21)</f>
        <v/>
      </c>
      <c r="F21" s="24">
        <f t="shared" si="1"/>
        <v>16.233333333333334</v>
      </c>
      <c r="G21" s="24">
        <f t="shared" si="2"/>
        <v>0.83447402436214535</v>
      </c>
      <c r="J21" s="18">
        <f t="shared" si="3"/>
        <v>46262</v>
      </c>
      <c r="K21" s="18">
        <f t="shared" si="0"/>
        <v>46446</v>
      </c>
      <c r="L21" s="39">
        <f>_xll.qlYieldTSForwardRate('9.Piecewise_YieldCurve_SW6'!$D$2,'10.CurvaSwap6M'!J21,'10.CurvaSwap6M'!K21,'10.CurvaSwap6M'!$I$3,'10.CurvaSwap6M'!$I$7,'10.CurvaSwap6M'!$I$5)</f>
        <v>1.665918807807493E-2</v>
      </c>
      <c r="M21" s="14" t="s">
        <v>119</v>
      </c>
      <c r="N21" s="14" t="s">
        <v>286</v>
      </c>
    </row>
    <row r="22" spans="1:14" x14ac:dyDescent="0.25">
      <c r="A22" s="18">
        <f>+'9.Curve'!F23</f>
        <v>49003</v>
      </c>
      <c r="B22" s="42">
        <f>_xll.qlYieldTSZeroRate('9.Piecewise_YieldCurve_SW6'!$D$2,'10.CurvaSwap6M'!A22,'10.CurvaSwap6M'!$I$3,'10.CurvaSwap6M'!$I$4,'10.CurvaSwap6M'!$I$5)</f>
        <v>1.1555987209324256E-2</v>
      </c>
      <c r="C22" s="15" t="str">
        <f>_xll.ohRangeRetrieveError(B22)</f>
        <v/>
      </c>
      <c r="D22">
        <v>0.81929695420711068</v>
      </c>
      <c r="E22" s="15" t="str">
        <f>_xll.ohRangeRetrieveError(D22)</f>
        <v/>
      </c>
      <c r="F22" s="24">
        <f t="shared" si="1"/>
        <v>17.247222222222224</v>
      </c>
      <c r="G22" s="24">
        <f t="shared" si="2"/>
        <v>0.81929695420711068</v>
      </c>
      <c r="J22" s="18">
        <f t="shared" si="3"/>
        <v>46446</v>
      </c>
      <c r="K22" s="18">
        <f t="shared" si="0"/>
        <v>46627</v>
      </c>
      <c r="L22" s="39">
        <f>_xll.qlYieldTSForwardRate('9.Piecewise_YieldCurve_SW6'!$D$2,'10.CurvaSwap6M'!J22,'10.CurvaSwap6M'!K22,'10.CurvaSwap6M'!$I$3,'10.CurvaSwap6M'!$I$7,'10.CurvaSwap6M'!$I$5)</f>
        <v>1.7837416923884141E-2</v>
      </c>
      <c r="M22" s="14" t="s">
        <v>275</v>
      </c>
      <c r="N22" s="14" t="s">
        <v>287</v>
      </c>
    </row>
    <row r="23" spans="1:14" x14ac:dyDescent="0.25">
      <c r="A23" s="18">
        <f>+'9.Curve'!F24</f>
        <v>49368</v>
      </c>
      <c r="B23" s="42">
        <f>_xll.qlYieldTSZeroRate('9.Piecewise_YieldCurve_SW6'!$D$2,'10.CurvaSwap6M'!A23,'10.CurvaSwap6M'!$I$3,'10.CurvaSwap6M'!$I$4,'10.CurvaSwap6M'!$I$5)</f>
        <v>1.1891223063580489E-2</v>
      </c>
      <c r="C23" s="15" t="str">
        <f>_xll.ohRangeRetrieveError(B23)</f>
        <v/>
      </c>
      <c r="D23">
        <v>0.80481169706881495</v>
      </c>
      <c r="E23" s="15" t="str">
        <f>_xll.ohRangeRetrieveError(D23)</f>
        <v/>
      </c>
      <c r="F23" s="24">
        <f t="shared" si="1"/>
        <v>18.261111111111113</v>
      </c>
      <c r="G23" s="24">
        <f t="shared" si="2"/>
        <v>0.80481169706881506</v>
      </c>
      <c r="J23" s="18">
        <f t="shared" si="3"/>
        <v>46627</v>
      </c>
      <c r="K23" s="18">
        <f t="shared" si="0"/>
        <v>46811</v>
      </c>
      <c r="L23" s="39">
        <f>_xll.qlYieldTSForwardRate('9.Piecewise_YieldCurve_SW6'!$D$2,'10.CurvaSwap6M'!J23,'10.CurvaSwap6M'!K23,'10.CurvaSwap6M'!$I$3,'10.CurvaSwap6M'!$I$7,'10.CurvaSwap6M'!$I$5)</f>
        <v>1.7838738766347974E-2</v>
      </c>
      <c r="M23" s="14" t="s">
        <v>288</v>
      </c>
      <c r="N23" s="14" t="s">
        <v>289</v>
      </c>
    </row>
    <row r="24" spans="1:14" ht="60" x14ac:dyDescent="0.25">
      <c r="A24" s="18">
        <f>+'9.Curve'!F25</f>
        <v>49733</v>
      </c>
      <c r="B24" s="42">
        <f>_xll.qlYieldTSZeroRate('9.Piecewise_YieldCurve_SW6'!$D$2,'10.CurvaSwap6M'!A24,'10.CurvaSwap6M'!$I$3,'10.CurvaSwap6M'!$I$4,'10.CurvaSwap6M'!$I$5)</f>
        <v>1.2162708824361648E-2</v>
      </c>
      <c r="C24" s="15" t="str">
        <f>_xll.ohRangeRetrieveError(B24)</f>
        <v/>
      </c>
      <c r="D24">
        <v>0.79101668918836454</v>
      </c>
      <c r="E24" s="15" t="str">
        <f>_xll.ohRangeRetrieveError(D24)</f>
        <v/>
      </c>
      <c r="F24" s="24">
        <f t="shared" si="1"/>
        <v>19.274999999999999</v>
      </c>
      <c r="G24" s="24">
        <f t="shared" si="2"/>
        <v>0.79101668918836454</v>
      </c>
      <c r="J24" s="18">
        <f t="shared" si="3"/>
        <v>46811</v>
      </c>
      <c r="K24" s="18">
        <f t="shared" si="0"/>
        <v>46993</v>
      </c>
      <c r="L24" s="39">
        <f>_xll.qlYieldTSForwardRate('9.Piecewise_YieldCurve_SW6'!$D$2,'10.CurvaSwap6M'!J24,'10.CurvaSwap6M'!K24,'10.CurvaSwap6M'!$I$3,'10.CurvaSwap6M'!$I$7,'10.CurvaSwap6M'!$I$5)</f>
        <v>1.8481378812654929E-2</v>
      </c>
      <c r="M24" s="14" t="s">
        <v>290</v>
      </c>
      <c r="N24" s="14" t="s">
        <v>291</v>
      </c>
    </row>
    <row r="25" spans="1:14" ht="45" x14ac:dyDescent="0.25">
      <c r="A25" s="18">
        <f>+'9.Curve'!F26</f>
        <v>50098</v>
      </c>
      <c r="B25" s="42">
        <f>_xll.qlYieldTSZeroRate('9.Piecewise_YieldCurve_SW6'!$D$2,'10.CurvaSwap6M'!A25,'10.CurvaSwap6M'!$I$3,'10.CurvaSwap6M'!$I$4,'10.CurvaSwap6M'!$I$5)</f>
        <v>1.2379026533265901E-2</v>
      </c>
      <c r="C25" s="15" t="str">
        <f>_xll.ohRangeRetrieveError(B25)</f>
        <v/>
      </c>
      <c r="D25">
        <v>0.7779004697610149</v>
      </c>
      <c r="E25" s="15" t="str">
        <f>_xll.ohRangeRetrieveError(D25)</f>
        <v/>
      </c>
      <c r="F25" s="24">
        <f t="shared" si="1"/>
        <v>20.288888888888888</v>
      </c>
      <c r="G25" s="24">
        <f t="shared" si="2"/>
        <v>0.7779004697610149</v>
      </c>
      <c r="J25" s="18">
        <f t="shared" si="3"/>
        <v>46993</v>
      </c>
      <c r="K25" s="18">
        <f t="shared" si="0"/>
        <v>47177</v>
      </c>
      <c r="L25" s="39">
        <f>_xll.qlYieldTSForwardRate('9.Piecewise_YieldCurve_SW6'!$D$2,'10.CurvaSwap6M'!J25,'10.CurvaSwap6M'!K25,'10.CurvaSwap6M'!$I$3,'10.CurvaSwap6M'!$I$7,'10.CurvaSwap6M'!$I$5)</f>
        <v>1.8482324685255545E-2</v>
      </c>
      <c r="M25" s="14" t="s">
        <v>292</v>
      </c>
      <c r="N25" s="14" t="s">
        <v>293</v>
      </c>
    </row>
    <row r="26" spans="1:14" ht="30" x14ac:dyDescent="0.25">
      <c r="A26" s="18">
        <f>+'9.Curve'!F27</f>
        <v>50462</v>
      </c>
      <c r="B26" s="42">
        <f>_xll.qlYieldTSZeroRate('9.Piecewise_YieldCurve_SW6'!$D$2,'10.CurvaSwap6M'!A26,'10.CurvaSwap6M'!$I$3,'10.CurvaSwap6M'!$I$4,'10.CurvaSwap6M'!$I$5)</f>
        <v>1.2554099190527494E-2</v>
      </c>
      <c r="C26" s="15" t="str">
        <f>_xll.ohRangeRetrieveError(B26)</f>
        <v/>
      </c>
      <c r="D26">
        <v>0.76536509337599723</v>
      </c>
      <c r="E26" s="15" t="str">
        <f>_xll.ohRangeRetrieveError(D26)</f>
        <v/>
      </c>
      <c r="F26" s="24">
        <f t="shared" si="1"/>
        <v>21.3</v>
      </c>
      <c r="G26" s="24">
        <f t="shared" si="2"/>
        <v>0.76536509337599723</v>
      </c>
      <c r="J26" s="18">
        <f t="shared" si="3"/>
        <v>47177</v>
      </c>
      <c r="K26" s="18">
        <f t="shared" si="0"/>
        <v>47358</v>
      </c>
      <c r="L26" s="39">
        <f>_xll.qlYieldTSForwardRate('9.Piecewise_YieldCurve_SW6'!$D$2,'10.CurvaSwap6M'!J26,'10.CurvaSwap6M'!K26,'10.CurvaSwap6M'!$I$3,'10.CurvaSwap6M'!$I$7,'10.CurvaSwap6M'!$I$5)</f>
        <v>1.8922646920387119E-2</v>
      </c>
      <c r="M26" s="14" t="s">
        <v>294</v>
      </c>
      <c r="N26" s="14" t="s">
        <v>295</v>
      </c>
    </row>
    <row r="27" spans="1:14" x14ac:dyDescent="0.25">
      <c r="A27" s="18">
        <f>+'9.Curve'!F28</f>
        <v>50829</v>
      </c>
      <c r="B27" s="42">
        <f>_xll.qlYieldTSZeroRate('9.Piecewise_YieldCurve_SW6'!$D$2,'10.CurvaSwap6M'!A27,'10.CurvaSwap6M'!$I$3,'10.CurvaSwap6M'!$I$4,'10.CurvaSwap6M'!$I$5)</f>
        <v>1.2708060113826245E-2</v>
      </c>
      <c r="C27" s="15" t="str">
        <f>_xll.ohRangeRetrieveError(B27)</f>
        <v/>
      </c>
      <c r="D27">
        <v>0.75304006780068766</v>
      </c>
      <c r="E27" s="15" t="str">
        <f>_xll.ohRangeRetrieveError(D27)</f>
        <v/>
      </c>
      <c r="F27" s="24">
        <f t="shared" si="1"/>
        <v>22.319444444444443</v>
      </c>
      <c r="G27" s="24">
        <f t="shared" si="2"/>
        <v>0.75304006780068766</v>
      </c>
      <c r="J27" s="18">
        <f t="shared" si="3"/>
        <v>47358</v>
      </c>
      <c r="K27" s="18">
        <f t="shared" si="0"/>
        <v>47542</v>
      </c>
      <c r="L27" s="39">
        <f>_xll.qlYieldTSForwardRate('9.Piecewise_YieldCurve_SW6'!$D$2,'10.CurvaSwap6M'!J27,'10.CurvaSwap6M'!K27,'10.CurvaSwap6M'!$I$3,'10.CurvaSwap6M'!$I$7,'10.CurvaSwap6M'!$I$5)</f>
        <v>1.8924134233266648E-2</v>
      </c>
      <c r="M27" s="14" t="s">
        <v>125</v>
      </c>
      <c r="N27" s="14" t="s">
        <v>126</v>
      </c>
    </row>
    <row r="28" spans="1:14" x14ac:dyDescent="0.25">
      <c r="A28" s="18">
        <f>+'9.Curve'!F29</f>
        <v>51194</v>
      </c>
      <c r="B28" s="42">
        <f>_xll.qlYieldTSZeroRate('9.Piecewise_YieldCurve_SW6'!$D$2,'10.CurvaSwap6M'!A28,'10.CurvaSwap6M'!$I$3,'10.CurvaSwap6M'!$I$4,'10.CurvaSwap6M'!$I$5)</f>
        <v>1.2817614464202152E-2</v>
      </c>
      <c r="C28" s="15" t="str">
        <f>_xll.ohRangeRetrieveError(B28)</f>
        <v/>
      </c>
      <c r="D28">
        <v>0.74150181413592575</v>
      </c>
      <c r="E28" s="15" t="str">
        <f>_xll.ohRangeRetrieveError(D28)</f>
        <v/>
      </c>
      <c r="F28" s="24">
        <f t="shared" si="1"/>
        <v>23.333333333333332</v>
      </c>
      <c r="G28" s="24">
        <f t="shared" si="2"/>
        <v>0.74150181413592575</v>
      </c>
      <c r="J28" s="18">
        <f t="shared" si="3"/>
        <v>47542</v>
      </c>
      <c r="K28" s="18">
        <f t="shared" si="0"/>
        <v>47723</v>
      </c>
      <c r="L28" s="39">
        <f>_xll.qlYieldTSForwardRate('9.Piecewise_YieldCurve_SW6'!$D$2,'10.CurvaSwap6M'!J28,'10.CurvaSwap6M'!K28,'10.CurvaSwap6M'!$I$3,'10.CurvaSwap6M'!$I$7,'10.CurvaSwap6M'!$I$5)</f>
        <v>1.8956278219494051E-2</v>
      </c>
    </row>
    <row r="29" spans="1:14" x14ac:dyDescent="0.25">
      <c r="A29" s="18">
        <f>+'9.Curve'!F30</f>
        <v>51560</v>
      </c>
      <c r="B29" s="42">
        <f>_xll.qlYieldTSZeroRate('9.Piecewise_YieldCurve_SW6'!$D$2,'10.CurvaSwap6M'!A29,'10.CurvaSwap6M'!$I$3,'10.CurvaSwap6M'!$I$4,'10.CurvaSwap6M'!$I$5)</f>
        <v>1.291569788873732E-2</v>
      </c>
      <c r="C29" s="15" t="str">
        <f>_xll.ohRangeRetrieveError(B29)</f>
        <v/>
      </c>
      <c r="D29">
        <v>0.73015587255063097</v>
      </c>
      <c r="E29" s="15" t="str">
        <f>_xll.ohRangeRetrieveError(D29)</f>
        <v/>
      </c>
      <c r="F29" s="24">
        <f t="shared" si="1"/>
        <v>24.35</v>
      </c>
      <c r="G29" s="24">
        <f t="shared" si="2"/>
        <v>0.73015587255063097</v>
      </c>
      <c r="J29" s="18">
        <f t="shared" si="3"/>
        <v>47723</v>
      </c>
      <c r="K29" s="18">
        <f t="shared" si="0"/>
        <v>47907</v>
      </c>
      <c r="L29" s="39">
        <f>_xll.qlYieldTSForwardRate('9.Piecewise_YieldCurve_SW6'!$D$2,'10.CurvaSwap6M'!J29,'10.CurvaSwap6M'!K29,'10.CurvaSwap6M'!$I$3,'10.CurvaSwap6M'!$I$7,'10.CurvaSwap6M'!$I$5)</f>
        <v>1.895777081566432E-2</v>
      </c>
    </row>
    <row r="30" spans="1:14" x14ac:dyDescent="0.25">
      <c r="A30" s="18">
        <f>+'9.Curve'!F31</f>
        <v>51925</v>
      </c>
      <c r="B30" s="42">
        <f>_xll.qlYieldTSZeroRate('9.Piecewise_YieldCurve_SW6'!$D$2,'10.CurvaSwap6M'!A30,'10.CurvaSwap6M'!$I$3,'10.CurvaSwap6M'!$I$4,'10.CurvaSwap6M'!$I$5)</f>
        <v>1.2981523248476805E-2</v>
      </c>
      <c r="C30" s="15" t="str">
        <f>_xll.ohRangeRetrieveError(B30)</f>
        <v/>
      </c>
      <c r="D30">
        <v>0.71945455736313302</v>
      </c>
      <c r="E30" s="15" t="str">
        <f>_xll.ohRangeRetrieveError(D30)</f>
        <v/>
      </c>
      <c r="F30" s="24">
        <f t="shared" si="1"/>
        <v>25.363888888888887</v>
      </c>
      <c r="G30" s="24">
        <f t="shared" si="2"/>
        <v>0.71945455736313302</v>
      </c>
      <c r="J30" s="18">
        <f t="shared" si="3"/>
        <v>47907</v>
      </c>
      <c r="K30" s="18">
        <f t="shared" si="0"/>
        <v>48088</v>
      </c>
      <c r="L30" s="39">
        <f>_xll.qlYieldTSForwardRate('9.Piecewise_YieldCurve_SW6'!$D$2,'10.CurvaSwap6M'!J30,'10.CurvaSwap6M'!K30,'10.CurvaSwap6M'!$I$3,'10.CurvaSwap6M'!$I$7,'10.CurvaSwap6M'!$I$5)</f>
        <v>1.8808082427906127E-2</v>
      </c>
    </row>
    <row r="31" spans="1:14" x14ac:dyDescent="0.25">
      <c r="A31" s="18">
        <f>+'9.Curve'!F32</f>
        <v>52289</v>
      </c>
      <c r="B31" s="42">
        <f>_xll.qlYieldTSZeroRate('9.Piecewise_YieldCurve_SW6'!$D$2,'10.CurvaSwap6M'!A31,'10.CurvaSwap6M'!$I$3,'10.CurvaSwap6M'!$I$4,'10.CurvaSwap6M'!$I$5)</f>
        <v>1.3037000334355909E-2</v>
      </c>
      <c r="C31" s="15" t="str">
        <f>_xll.ohRangeRetrieveError(B31)</f>
        <v/>
      </c>
      <c r="D31">
        <v>0.70903464870625355</v>
      </c>
      <c r="E31" s="15" t="str">
        <f>_xll.ohRangeRetrieveError(D31)</f>
        <v/>
      </c>
      <c r="F31" s="24">
        <f t="shared" si="1"/>
        <v>26.375</v>
      </c>
      <c r="G31" s="24">
        <f t="shared" si="2"/>
        <v>0.70903464870625366</v>
      </c>
      <c r="J31" s="18">
        <f t="shared" si="3"/>
        <v>48088</v>
      </c>
      <c r="K31" s="18">
        <f t="shared" si="0"/>
        <v>48272</v>
      </c>
      <c r="L31" s="39">
        <f>_xll.qlYieldTSForwardRate('9.Piecewise_YieldCurve_SW6'!$D$2,'10.CurvaSwap6M'!J31,'10.CurvaSwap6M'!K31,'10.CurvaSwap6M'!$I$3,'10.CurvaSwap6M'!$I$7,'10.CurvaSwap6M'!$I$5)</f>
        <v>1.8808150607289312E-2</v>
      </c>
    </row>
    <row r="32" spans="1:14" x14ac:dyDescent="0.25">
      <c r="A32" s="18">
        <f>+'9.Curve'!F33</f>
        <v>52656</v>
      </c>
      <c r="B32" s="42">
        <f>_xll.qlYieldTSZeroRate('9.Piecewise_YieldCurve_SW6'!$D$2,'10.CurvaSwap6M'!A32,'10.CurvaSwap6M'!$I$3,'10.CurvaSwap6M'!$I$4,'10.CurvaSwap6M'!$I$5)</f>
        <v>1.3081618708257206E-2</v>
      </c>
      <c r="C32" s="15" t="str">
        <f>_xll.ohRangeRetrieveError(B32)</f>
        <v/>
      </c>
      <c r="D32">
        <v>0.69881888446946805</v>
      </c>
      <c r="E32" s="15" t="str">
        <f>_xll.ohRangeRetrieveError(D32)</f>
        <v/>
      </c>
      <c r="F32" s="24">
        <f t="shared" si="1"/>
        <v>27.394444444444446</v>
      </c>
      <c r="G32" s="24">
        <f t="shared" si="2"/>
        <v>0.69881888446946805</v>
      </c>
      <c r="J32" s="18">
        <f t="shared" si="3"/>
        <v>48272</v>
      </c>
      <c r="K32" s="18">
        <f t="shared" si="0"/>
        <v>48454</v>
      </c>
      <c r="L32" s="39">
        <f>_xll.qlYieldTSForwardRate('9.Piecewise_YieldCurve_SW6'!$D$2,'10.CurvaSwap6M'!J32,'10.CurvaSwap6M'!K32,'10.CurvaSwap6M'!$I$3,'10.CurvaSwap6M'!$I$7,'10.CurvaSwap6M'!$I$5)</f>
        <v>1.8550793637965978E-2</v>
      </c>
      <c r="M32" s="13" t="s">
        <v>309</v>
      </c>
    </row>
    <row r="33" spans="1:13" x14ac:dyDescent="0.25">
      <c r="A33" s="18">
        <f>+'9.Curve'!F34</f>
        <v>53021</v>
      </c>
      <c r="B33" s="42">
        <f>_xll.qlYieldTSZeroRate('9.Piecewise_YieldCurve_SW6'!$D$2,'10.CurvaSwap6M'!A33,'10.CurvaSwap6M'!$I$3,'10.CurvaSwap6M'!$I$4,'10.CurvaSwap6M'!$I$5)</f>
        <v>1.3114115850111928E-2</v>
      </c>
      <c r="C33" s="15" t="str">
        <f>_xll.ohRangeRetrieveError(B33)</f>
        <v/>
      </c>
      <c r="D33">
        <v>0.68897508175039746</v>
      </c>
      <c r="E33" s="15" t="str">
        <f>_xll.ohRangeRetrieveError(D33)</f>
        <v/>
      </c>
      <c r="F33" s="24">
        <f t="shared" si="1"/>
        <v>28.408333333333335</v>
      </c>
      <c r="G33" s="24">
        <f t="shared" si="2"/>
        <v>0.68897508175039746</v>
      </c>
      <c r="J33" s="18">
        <f t="shared" si="3"/>
        <v>48454</v>
      </c>
      <c r="K33" s="18">
        <f t="shared" si="0"/>
        <v>48638</v>
      </c>
      <c r="L33" s="39">
        <f>_xll.qlYieldTSForwardRate('9.Piecewise_YieldCurve_SW6'!$D$2,'10.CurvaSwap6M'!J33,'10.CurvaSwap6M'!K33,'10.CurvaSwap6M'!$I$3,'10.CurvaSwap6M'!$I$7,'10.CurvaSwap6M'!$I$5)</f>
        <v>1.8551746618221242E-2</v>
      </c>
    </row>
    <row r="34" spans="1:13" x14ac:dyDescent="0.25">
      <c r="A34" s="18">
        <f>+'9.Curve'!F35</f>
        <v>53386</v>
      </c>
      <c r="B34" s="42">
        <f>_xll.qlYieldTSZeroRate('9.Piecewise_YieldCurve_SW6'!$D$2,'10.CurvaSwap6M'!A34,'10.CurvaSwap6M'!$I$3,'10.CurvaSwap6M'!$I$4,'10.CurvaSwap6M'!$I$5)</f>
        <v>1.3136801023168864E-2</v>
      </c>
      <c r="C34" s="15" t="str">
        <f>_xll.ohRangeRetrieveError(B34)</f>
        <v/>
      </c>
      <c r="D34">
        <v>0.67942129562593523</v>
      </c>
      <c r="E34" s="15" t="str">
        <f>_xll.ohRangeRetrieveError(D34)</f>
        <v/>
      </c>
      <c r="F34" s="24">
        <f t="shared" si="1"/>
        <v>29.422222222222221</v>
      </c>
      <c r="G34" s="24">
        <f t="shared" si="2"/>
        <v>0.67942129562593523</v>
      </c>
      <c r="J34" s="18">
        <f t="shared" si="3"/>
        <v>48638</v>
      </c>
      <c r="K34" s="18">
        <f t="shared" si="0"/>
        <v>48819</v>
      </c>
      <c r="L34" s="39">
        <f>_xll.qlYieldTSForwardRate('9.Piecewise_YieldCurve_SW6'!$D$2,'10.CurvaSwap6M'!J34,'10.CurvaSwap6M'!K34,'10.CurvaSwap6M'!$I$3,'10.CurvaSwap6M'!$I$7,'10.CurvaSwap6M'!$I$5)</f>
        <v>1.8186217885788121E-2</v>
      </c>
      <c r="M34" t="s">
        <v>310</v>
      </c>
    </row>
    <row r="35" spans="1:13" x14ac:dyDescent="0.25">
      <c r="A35" s="18">
        <f>+'9.Curve'!F36</f>
        <v>53751</v>
      </c>
      <c r="B35" s="42">
        <f>_xll.qlYieldTSZeroRate('9.Piecewise_YieldCurve_SW6'!$D$2,'10.CurvaSwap6M'!A35,'10.CurvaSwap6M'!$I$3,'10.CurvaSwap6M'!$I$4,'10.CurvaSwap6M'!$I$5)</f>
        <v>1.3148206431288442E-2</v>
      </c>
      <c r="C35" s="15" t="str">
        <f>_xll.ohRangeRetrieveError(B35)</f>
        <v/>
      </c>
      <c r="D35">
        <v>0.6701992170891744</v>
      </c>
      <c r="E35" s="15" t="str">
        <f>_xll.ohRangeRetrieveError(D35)</f>
        <v/>
      </c>
      <c r="F35" s="24">
        <f t="shared" si="1"/>
        <v>30.43611111111111</v>
      </c>
      <c r="G35" s="24">
        <f t="shared" si="2"/>
        <v>0.6701992170891744</v>
      </c>
      <c r="J35" s="18">
        <f t="shared" si="3"/>
        <v>48819</v>
      </c>
      <c r="K35" s="18">
        <f t="shared" si="0"/>
        <v>49003</v>
      </c>
      <c r="L35" s="39">
        <f>_xll.qlYieldTSForwardRate('9.Piecewise_YieldCurve_SW6'!$D$2,'10.CurvaSwap6M'!J35,'10.CurvaSwap6M'!K35,'10.CurvaSwap6M'!$I$3,'10.CurvaSwap6M'!$I$7,'10.CurvaSwap6M'!$I$5)</f>
        <v>1.8187591850994535E-2</v>
      </c>
      <c r="M35" t="s">
        <v>311</v>
      </c>
    </row>
    <row r="36" spans="1:13" x14ac:dyDescent="0.25">
      <c r="A36" s="18">
        <f>+'9.Curve'!F37</f>
        <v>55577</v>
      </c>
      <c r="B36" s="42">
        <f>_xll.qlYieldTSZeroRate('9.Piecewise_YieldCurve_SW6'!$D$2,'10.CurvaSwap6M'!A36,'10.CurvaSwap6M'!$I$3,'10.CurvaSwap6M'!$I$4,'10.CurvaSwap6M'!$I$5)</f>
        <v>1.3154453980001229E-2</v>
      </c>
      <c r="C36" s="15" t="str">
        <f>_xll.ohRangeRetrieveError(B36)</f>
        <v/>
      </c>
      <c r="D36">
        <v>0.62682195829203169</v>
      </c>
      <c r="E36" s="15" t="str">
        <f>_xll.ohRangeRetrieveError(D36)</f>
        <v/>
      </c>
      <c r="F36" s="24">
        <f t="shared" si="1"/>
        <v>35.508333333333333</v>
      </c>
      <c r="G36" s="24">
        <f t="shared" si="2"/>
        <v>0.62682195829203169</v>
      </c>
      <c r="J36" s="18">
        <f t="shared" si="3"/>
        <v>49003</v>
      </c>
      <c r="K36" s="18">
        <f t="shared" si="0"/>
        <v>49184</v>
      </c>
      <c r="L36" s="39">
        <f>_xll.qlYieldTSForwardRate('9.Piecewise_YieldCurve_SW6'!$D$2,'10.CurvaSwap6M'!J36,'10.CurvaSwap6M'!K36,'10.CurvaSwap6M'!$I$3,'10.CurvaSwap6M'!$I$7,'10.CurvaSwap6M'!$I$5)</f>
        <v>1.7671952671657769E-2</v>
      </c>
      <c r="M36" t="s">
        <v>109</v>
      </c>
    </row>
    <row r="37" spans="1:13" x14ac:dyDescent="0.25">
      <c r="A37" s="18">
        <f>+'9.Curve'!F38</f>
        <v>57404</v>
      </c>
      <c r="B37" s="42">
        <f>_xll.qlYieldTSZeroRate('9.Piecewise_YieldCurve_SW6'!$D$2,'10.CurvaSwap6M'!A37,'10.CurvaSwap6M'!$I$3,'10.CurvaSwap6M'!$I$4,'10.CurvaSwap6M'!$I$5)</f>
        <v>1.3034637659894184E-2</v>
      </c>
      <c r="C37" s="15" t="str">
        <f>_xll.ohRangeRetrieveError(B37)</f>
        <v/>
      </c>
      <c r="D37">
        <v>0.58920032368474273</v>
      </c>
      <c r="E37" s="15" t="str">
        <f>_xll.ohRangeRetrieveError(D37)</f>
        <v/>
      </c>
      <c r="F37" s="24">
        <f t="shared" si="1"/>
        <v>40.583333333333336</v>
      </c>
      <c r="G37" s="24">
        <f t="shared" si="2"/>
        <v>0.58920032368474273</v>
      </c>
      <c r="J37" s="18">
        <f t="shared" si="3"/>
        <v>49184</v>
      </c>
      <c r="K37" s="18">
        <f t="shared" si="0"/>
        <v>49368</v>
      </c>
      <c r="L37" s="39">
        <f>_xll.qlYieldTSForwardRate('9.Piecewise_YieldCurve_SW6'!$D$2,'10.CurvaSwap6M'!J37,'10.CurvaSwap6M'!K37,'10.CurvaSwap6M'!$I$3,'10.CurvaSwap6M'!$I$7,'10.CurvaSwap6M'!$I$5)</f>
        <v>1.767325013956933E-2</v>
      </c>
      <c r="M37" t="s">
        <v>312</v>
      </c>
    </row>
    <row r="38" spans="1:13" x14ac:dyDescent="0.25">
      <c r="A38" s="18">
        <f>+'9.Curve'!F39</f>
        <v>61056</v>
      </c>
      <c r="B38" s="42">
        <f>_xll.qlYieldTSZeroRate('9.Piecewise_YieldCurve_SW6'!$D$2,'10.CurvaSwap6M'!A38,'10.CurvaSwap6M'!$I$3,'10.CurvaSwap6M'!$I$4,'10.CurvaSwap6M'!$I$5)</f>
        <v>1.2321354241530037E-2</v>
      </c>
      <c r="C38" s="15" t="str">
        <f>_xll.ohRangeRetrieveError(B38)</f>
        <v/>
      </c>
      <c r="D38">
        <v>0.53524273757747676</v>
      </c>
      <c r="E38" s="15" t="str">
        <f>_xll.ohRangeRetrieveError(D38)</f>
        <v/>
      </c>
      <c r="F38" s="24">
        <f t="shared" si="1"/>
        <v>50.727777777777774</v>
      </c>
      <c r="G38" s="24">
        <f t="shared" si="2"/>
        <v>0.53524273757747676</v>
      </c>
      <c r="J38" s="18">
        <f t="shared" si="3"/>
        <v>49368</v>
      </c>
      <c r="K38" s="18">
        <f t="shared" si="0"/>
        <v>49549</v>
      </c>
      <c r="L38" s="39">
        <f>_xll.qlYieldTSForwardRate('9.Piecewise_YieldCurve_SW6'!$D$2,'10.CurvaSwap6M'!J38,'10.CurvaSwap6M'!K38,'10.CurvaSwap6M'!$I$3,'10.CurvaSwap6M'!$I$7,'10.CurvaSwap6M'!$I$5)</f>
        <v>1.7125737254658165E-2</v>
      </c>
      <c r="M38" t="s">
        <v>283</v>
      </c>
    </row>
    <row r="39" spans="1:13" x14ac:dyDescent="0.25">
      <c r="A39" s="18">
        <f>+'9.Curve'!F40</f>
        <v>64707</v>
      </c>
      <c r="B39" s="42">
        <f>_xll.qlYieldTSZeroRate('9.Piecewise_YieldCurve_SW6'!$D$2,'10.CurvaSwap6M'!A39,'10.CurvaSwap6M'!$I$3,'10.CurvaSwap6M'!$I$4,'10.CurvaSwap6M'!$I$5)</f>
        <v>1.1840155434660339E-2</v>
      </c>
      <c r="C39" s="15" t="str">
        <f>_xll.ohRangeRetrieveError(B39)</f>
        <v/>
      </c>
      <c r="D39">
        <v>0.48640985694068539</v>
      </c>
      <c r="E39" s="15" t="str">
        <f>_xll.ohRangeRetrieveError(D39)</f>
        <v/>
      </c>
      <c r="F39" s="24">
        <f t="shared" si="1"/>
        <v>60.869444444444447</v>
      </c>
      <c r="G39" s="24">
        <f t="shared" si="2"/>
        <v>0.48640985694068534</v>
      </c>
      <c r="J39" s="18">
        <f t="shared" si="3"/>
        <v>49549</v>
      </c>
      <c r="K39" s="18">
        <f t="shared" si="0"/>
        <v>49733</v>
      </c>
      <c r="L39" s="39">
        <f>_xll.qlYieldTSForwardRate('9.Piecewise_YieldCurve_SW6'!$D$2,'10.CurvaSwap6M'!J39,'10.CurvaSwap6M'!K39,'10.CurvaSwap6M'!$I$3,'10.CurvaSwap6M'!$I$7,'10.CurvaSwap6M'!$I$5)</f>
        <v>1.7126955865313726E-2</v>
      </c>
      <c r="M39" t="s">
        <v>226</v>
      </c>
    </row>
    <row r="40" spans="1:13" x14ac:dyDescent="0.25">
      <c r="A40" s="18"/>
      <c r="B40" s="42"/>
      <c r="C40" s="15" t="str">
        <f>_xll.ohRangeRetrieveError(B40)</f>
        <v/>
      </c>
      <c r="E40" s="15" t="str">
        <f>_xll.ohRangeRetrieveError(D40)</f>
        <v/>
      </c>
      <c r="F40" s="24">
        <f t="shared" si="1"/>
        <v>118.87222222222222</v>
      </c>
      <c r="G40" s="24">
        <f t="shared" si="2"/>
        <v>1</v>
      </c>
      <c r="J40" s="18">
        <f t="shared" si="3"/>
        <v>49733</v>
      </c>
      <c r="K40" s="18">
        <f t="shared" si="0"/>
        <v>49915</v>
      </c>
      <c r="L40" s="39">
        <f>_xll.qlYieldTSForwardRate('9.Piecewise_YieldCurve_SW6'!$D$2,'10.CurvaSwap6M'!J40,'10.CurvaSwap6M'!K40,'10.CurvaSwap6M'!$I$3,'10.CurvaSwap6M'!$I$7,'10.CurvaSwap6M'!$I$5)</f>
        <v>1.6560372373397702E-2</v>
      </c>
    </row>
    <row r="41" spans="1:13" x14ac:dyDescent="0.25">
      <c r="A41" s="18"/>
      <c r="B41" s="42"/>
      <c r="C41" s="15" t="str">
        <f>_xll.ohRangeRetrieveError(B41)</f>
        <v/>
      </c>
      <c r="E41" s="15" t="str">
        <f>_xll.ohRangeRetrieveError(D41)</f>
        <v/>
      </c>
      <c r="F41" s="24">
        <f t="shared" si="1"/>
        <v>118.87222222222222</v>
      </c>
      <c r="G41" s="24">
        <f t="shared" si="2"/>
        <v>1</v>
      </c>
      <c r="J41" s="18">
        <f t="shared" si="3"/>
        <v>49915</v>
      </c>
      <c r="K41" s="18">
        <f t="shared" si="0"/>
        <v>50099</v>
      </c>
      <c r="L41" s="39">
        <f>_xll.qlYieldTSForwardRate('9.Piecewise_YieldCurve_SW6'!$D$2,'10.CurvaSwap6M'!J41,'10.CurvaSwap6M'!K41,'10.CurvaSwap6M'!$I$3,'10.CurvaSwap6M'!$I$7,'10.CurvaSwap6M'!$I$5)</f>
        <v>1.6558806369365287E-2</v>
      </c>
      <c r="M41" t="s">
        <v>114</v>
      </c>
    </row>
    <row r="42" spans="1:13" x14ac:dyDescent="0.25">
      <c r="A42" s="18"/>
      <c r="B42" s="42"/>
      <c r="C42" s="15" t="str">
        <f>_xll.ohRangeRetrieveError(B42)</f>
        <v/>
      </c>
      <c r="E42" s="15" t="str">
        <f>_xll.ohRangeRetrieveError(D42)</f>
        <v/>
      </c>
      <c r="F42" s="24">
        <f t="shared" si="1"/>
        <v>118.87222222222222</v>
      </c>
      <c r="G42" s="24">
        <f t="shared" si="2"/>
        <v>1</v>
      </c>
      <c r="J42" s="18">
        <f t="shared" si="3"/>
        <v>50099</v>
      </c>
      <c r="K42" s="18">
        <f t="shared" si="0"/>
        <v>50280</v>
      </c>
      <c r="L42" s="39">
        <f>_xll.qlYieldTSForwardRate('9.Piecewise_YieldCurve_SW6'!$D$2,'10.CurvaSwap6M'!J42,'10.CurvaSwap6M'!K42,'10.CurvaSwap6M'!$I$3,'10.CurvaSwap6M'!$I$7,'10.CurvaSwap6M'!$I$5)</f>
        <v>1.6132167123689704E-2</v>
      </c>
    </row>
    <row r="43" spans="1:13" x14ac:dyDescent="0.25">
      <c r="A43" s="18"/>
      <c r="B43" s="42"/>
      <c r="C43" s="15" t="str">
        <f>_xll.ohRangeRetrieveError(B43)</f>
        <v/>
      </c>
      <c r="E43" s="15" t="str">
        <f>_xll.ohRangeRetrieveError(D43)</f>
        <v/>
      </c>
      <c r="F43" s="24">
        <f t="shared" si="1"/>
        <v>118.87222222222222</v>
      </c>
      <c r="G43" s="24">
        <f t="shared" si="2"/>
        <v>1</v>
      </c>
      <c r="J43" s="18">
        <f t="shared" si="3"/>
        <v>50280</v>
      </c>
      <c r="K43" s="18">
        <f t="shared" si="0"/>
        <v>50464</v>
      </c>
      <c r="L43" s="39">
        <f>_xll.qlYieldTSForwardRate('9.Piecewise_YieldCurve_SW6'!$D$2,'10.CurvaSwap6M'!J43,'10.CurvaSwap6M'!K43,'10.CurvaSwap6M'!$I$3,'10.CurvaSwap6M'!$I$7,'10.CurvaSwap6M'!$I$5)</f>
        <v>1.6131690030108659E-2</v>
      </c>
      <c r="M43" t="s">
        <v>313</v>
      </c>
    </row>
    <row r="44" spans="1:13" x14ac:dyDescent="0.25">
      <c r="A44" s="18"/>
      <c r="B44" s="42"/>
      <c r="C44" s="15" t="str">
        <f>_xll.ohRangeRetrieveError(B44)</f>
        <v/>
      </c>
      <c r="E44" s="15" t="str">
        <f>_xll.ohRangeRetrieveError(D44)</f>
        <v/>
      </c>
      <c r="F44" s="24">
        <f t="shared" si="1"/>
        <v>118.87222222222222</v>
      </c>
      <c r="G44" s="24">
        <f t="shared" si="2"/>
        <v>1</v>
      </c>
      <c r="J44" s="18">
        <f t="shared" si="3"/>
        <v>50464</v>
      </c>
      <c r="K44" s="18">
        <f t="shared" si="0"/>
        <v>50645</v>
      </c>
      <c r="L44" s="39">
        <f>_xll.qlYieldTSForwardRate('9.Piecewise_YieldCurve_SW6'!$D$2,'10.CurvaSwap6M'!J44,'10.CurvaSwap6M'!K44,'10.CurvaSwap6M'!$I$3,'10.CurvaSwap6M'!$I$7,'10.CurvaSwap6M'!$I$5)</f>
        <v>1.5988801686865464E-2</v>
      </c>
    </row>
    <row r="45" spans="1:13" x14ac:dyDescent="0.25">
      <c r="A45" s="18"/>
      <c r="B45" s="42"/>
      <c r="C45" s="15" t="str">
        <f>_xll.ohRangeRetrieveError(B45)</f>
        <v/>
      </c>
      <c r="E45" s="15" t="str">
        <f>_xll.ohRangeRetrieveError(D45)</f>
        <v/>
      </c>
      <c r="F45" s="24">
        <f t="shared" si="1"/>
        <v>118.87222222222222</v>
      </c>
      <c r="G45" s="24">
        <f t="shared" si="2"/>
        <v>1</v>
      </c>
      <c r="J45" s="18">
        <f t="shared" si="3"/>
        <v>50645</v>
      </c>
      <c r="K45" s="18">
        <f t="shared" si="0"/>
        <v>50829</v>
      </c>
      <c r="L45" s="39">
        <f>_xll.qlYieldTSForwardRate('9.Piecewise_YieldCurve_SW6'!$D$2,'10.CurvaSwap6M'!J45,'10.CurvaSwap6M'!K45,'10.CurvaSwap6M'!$I$3,'10.CurvaSwap6M'!$I$7,'10.CurvaSwap6M'!$I$5)</f>
        <v>1.5989864065144337E-2</v>
      </c>
      <c r="M45" t="s">
        <v>116</v>
      </c>
    </row>
    <row r="46" spans="1:13" x14ac:dyDescent="0.25">
      <c r="A46" s="18"/>
      <c r="B46" s="42"/>
      <c r="C46" s="15" t="str">
        <f>_xll.ohRangeRetrieveError(B46)</f>
        <v/>
      </c>
      <c r="E46" s="15" t="str">
        <f>_xll.ohRangeRetrieveError(D46)</f>
        <v/>
      </c>
      <c r="F46" s="24">
        <f t="shared" si="1"/>
        <v>118.87222222222222</v>
      </c>
      <c r="G46" s="24">
        <f t="shared" si="2"/>
        <v>1</v>
      </c>
      <c r="J46" s="18">
        <f t="shared" si="3"/>
        <v>50829</v>
      </c>
      <c r="K46" s="18">
        <f t="shared" si="0"/>
        <v>51010</v>
      </c>
      <c r="L46" s="39">
        <f>_xll.qlYieldTSForwardRate('9.Piecewise_YieldCurve_SW6'!$D$2,'10.CurvaSwap6M'!J46,'10.CurvaSwap6M'!K46,'10.CurvaSwap6M'!$I$3,'10.CurvaSwap6M'!$I$7,'10.CurvaSwap6M'!$I$5)</f>
        <v>1.5287765120973832E-2</v>
      </c>
    </row>
    <row r="47" spans="1:13" x14ac:dyDescent="0.25">
      <c r="A47" s="18"/>
      <c r="B47" s="42"/>
      <c r="C47" s="15" t="str">
        <f>_xll.ohRangeRetrieveError(B47)</f>
        <v/>
      </c>
      <c r="E47" s="15" t="str">
        <f>_xll.ohRangeRetrieveError(D47)</f>
        <v/>
      </c>
      <c r="F47" s="24">
        <f t="shared" si="1"/>
        <v>118.87222222222222</v>
      </c>
      <c r="G47" s="24">
        <f t="shared" si="2"/>
        <v>1</v>
      </c>
      <c r="J47" s="18">
        <f t="shared" si="3"/>
        <v>51010</v>
      </c>
      <c r="K47" s="18">
        <f t="shared" si="0"/>
        <v>51194</v>
      </c>
      <c r="L47" s="39">
        <f>_xll.qlYieldTSForwardRate('9.Piecewise_YieldCurve_SW6'!$D$2,'10.CurvaSwap6M'!J47,'10.CurvaSwap6M'!K47,'10.CurvaSwap6M'!$I$3,'10.CurvaSwap6M'!$I$7,'10.CurvaSwap6M'!$I$5)</f>
        <v>1.5288736492284665E-2</v>
      </c>
      <c r="M47" t="s">
        <v>285</v>
      </c>
    </row>
    <row r="48" spans="1:13" x14ac:dyDescent="0.25">
      <c r="A48" s="18"/>
      <c r="B48" s="42"/>
      <c r="C48" s="15" t="str">
        <f>_xll.ohRangeRetrieveError(B48)</f>
        <v/>
      </c>
      <c r="E48" s="15" t="str">
        <f>_xll.ohRangeRetrieveError(D48)</f>
        <v/>
      </c>
      <c r="F48" s="24">
        <f t="shared" si="1"/>
        <v>118.87222222222222</v>
      </c>
      <c r="G48" s="24">
        <f t="shared" si="2"/>
        <v>1</v>
      </c>
      <c r="J48" s="18">
        <f t="shared" si="3"/>
        <v>51194</v>
      </c>
      <c r="K48" s="18">
        <f t="shared" si="0"/>
        <v>51376</v>
      </c>
      <c r="L48" s="39">
        <f>_xll.qlYieldTSForwardRate('9.Piecewise_YieldCurve_SW6'!$D$2,'10.CurvaSwap6M'!J48,'10.CurvaSwap6M'!K48,'10.CurvaSwap6M'!$I$3,'10.CurvaSwap6M'!$I$7,'10.CurvaSwap6M'!$I$5)</f>
        <v>1.5225088658388475E-2</v>
      </c>
    </row>
    <row r="49" spans="1:14" x14ac:dyDescent="0.25">
      <c r="A49" s="18"/>
      <c r="B49" s="42"/>
      <c r="C49" s="15" t="str">
        <f>_xll.ohRangeRetrieveError(B49)</f>
        <v/>
      </c>
      <c r="E49" s="15" t="str">
        <f>_xll.ohRangeRetrieveError(D49)</f>
        <v/>
      </c>
      <c r="F49" s="24">
        <f t="shared" si="1"/>
        <v>118.87222222222222</v>
      </c>
      <c r="G49" s="24">
        <f t="shared" si="2"/>
        <v>1</v>
      </c>
      <c r="J49" s="18">
        <f t="shared" si="3"/>
        <v>51376</v>
      </c>
      <c r="K49" s="18">
        <f t="shared" si="0"/>
        <v>51560</v>
      </c>
      <c r="L49" s="39">
        <f>_xll.qlYieldTSForwardRate('9.Piecewise_YieldCurve_SW6'!$D$2,'10.CurvaSwap6M'!J49,'10.CurvaSwap6M'!K49,'10.CurvaSwap6M'!$I$3,'10.CurvaSwap6M'!$I$7,'10.CurvaSwap6M'!$I$5)</f>
        <v>1.522573092883641E-2</v>
      </c>
      <c r="M49" t="s">
        <v>118</v>
      </c>
    </row>
    <row r="50" spans="1:14" ht="30" x14ac:dyDescent="0.25">
      <c r="A50" s="18"/>
      <c r="B50" s="42"/>
      <c r="C50" s="15" t="str">
        <f>_xll.ohRangeRetrieveError(B50)</f>
        <v/>
      </c>
      <c r="E50" s="15" t="str">
        <f>_xll.ohRangeRetrieveError(D50)</f>
        <v/>
      </c>
      <c r="F50" s="24">
        <f t="shared" si="1"/>
        <v>118.87222222222222</v>
      </c>
      <c r="G50" s="24">
        <f t="shared" si="2"/>
        <v>1</v>
      </c>
      <c r="J50" s="18">
        <f t="shared" si="3"/>
        <v>51560</v>
      </c>
      <c r="K50" s="18">
        <f t="shared" si="0"/>
        <v>51741</v>
      </c>
      <c r="L50" s="39">
        <f>_xll.qlYieldTSForwardRate('9.Piecewise_YieldCurve_SW6'!$D$2,'10.CurvaSwap6M'!J50,'10.CurvaSwap6M'!K50,'10.CurvaSwap6M'!$I$3,'10.CurvaSwap6M'!$I$7,'10.CurvaSwap6M'!$I$5)</f>
        <v>1.4615854796692135E-2</v>
      </c>
      <c r="M50" s="14" t="s">
        <v>119</v>
      </c>
      <c r="N50" s="14" t="s">
        <v>286</v>
      </c>
    </row>
    <row r="51" spans="1:14" x14ac:dyDescent="0.25">
      <c r="A51" s="18"/>
      <c r="B51" s="42"/>
      <c r="C51" s="15" t="str">
        <f>_xll.ohRangeRetrieveError(B51)</f>
        <v/>
      </c>
      <c r="E51" s="15" t="str">
        <f>_xll.ohRangeRetrieveError(D51)</f>
        <v/>
      </c>
      <c r="F51" s="24">
        <f t="shared" si="1"/>
        <v>118.87222222222222</v>
      </c>
      <c r="G51" s="24">
        <f t="shared" si="2"/>
        <v>1</v>
      </c>
      <c r="J51" s="18">
        <f t="shared" si="3"/>
        <v>51741</v>
      </c>
      <c r="K51" s="18">
        <f t="shared" si="0"/>
        <v>51925</v>
      </c>
      <c r="L51" s="39">
        <f>_xll.qlYieldTSForwardRate('9.Piecewise_YieldCurve_SW6'!$D$2,'10.CurvaSwap6M'!J51,'10.CurvaSwap6M'!K51,'10.CurvaSwap6M'!$I$3,'10.CurvaSwap6M'!$I$7,'10.CurvaSwap6M'!$I$5)</f>
        <v>1.4616742757023038E-2</v>
      </c>
      <c r="M51" s="14" t="s">
        <v>314</v>
      </c>
      <c r="N51" s="14" t="s">
        <v>315</v>
      </c>
    </row>
    <row r="52" spans="1:14" ht="30" x14ac:dyDescent="0.25">
      <c r="A52" s="18"/>
      <c r="B52" s="42"/>
      <c r="C52" s="15" t="str">
        <f>_xll.ohRangeRetrieveError(B52)</f>
        <v/>
      </c>
      <c r="E52" s="15" t="str">
        <f>_xll.ohRangeRetrieveError(D52)</f>
        <v/>
      </c>
      <c r="F52" s="24">
        <f t="shared" si="1"/>
        <v>118.87222222222222</v>
      </c>
      <c r="G52" s="24">
        <f t="shared" si="2"/>
        <v>1</v>
      </c>
      <c r="J52" s="18">
        <f t="shared" si="3"/>
        <v>51925</v>
      </c>
      <c r="K52" s="18">
        <f t="shared" si="0"/>
        <v>52106</v>
      </c>
      <c r="L52" s="39">
        <f>_xll.qlYieldTSForwardRate('9.Piecewise_YieldCurve_SW6'!$D$2,'10.CurvaSwap6M'!J52,'10.CurvaSwap6M'!K52,'10.CurvaSwap6M'!$I$3,'10.CurvaSwap6M'!$I$7,'10.CurvaSwap6M'!$I$5)</f>
        <v>1.4481114610882528E-2</v>
      </c>
      <c r="M52" s="14" t="s">
        <v>294</v>
      </c>
      <c r="N52" s="14" t="s">
        <v>295</v>
      </c>
    </row>
    <row r="53" spans="1:14" x14ac:dyDescent="0.25">
      <c r="A53" s="18"/>
      <c r="B53" s="42"/>
      <c r="C53" s="15" t="str">
        <f>_xll.ohRangeRetrieveError(B53)</f>
        <v/>
      </c>
      <c r="E53" s="15" t="str">
        <f>_xll.ohRangeRetrieveError(D53)</f>
        <v/>
      </c>
      <c r="F53" s="24">
        <f t="shared" si="1"/>
        <v>118.87222222222222</v>
      </c>
      <c r="G53" s="24">
        <f t="shared" si="2"/>
        <v>1</v>
      </c>
      <c r="J53" s="18">
        <f t="shared" si="3"/>
        <v>52106</v>
      </c>
      <c r="K53" s="18">
        <f t="shared" si="0"/>
        <v>52290</v>
      </c>
      <c r="L53" s="39">
        <f>_xll.qlYieldTSForwardRate('9.Piecewise_YieldCurve_SW6'!$D$2,'10.CurvaSwap6M'!J53,'10.CurvaSwap6M'!K53,'10.CurvaSwap6M'!$I$3,'10.CurvaSwap6M'!$I$7,'10.CurvaSwap6M'!$I$5)</f>
        <v>1.4480931425173319E-2</v>
      </c>
      <c r="M53" s="14" t="s">
        <v>125</v>
      </c>
      <c r="N53" s="14" t="s">
        <v>126</v>
      </c>
    </row>
    <row r="54" spans="1:14" x14ac:dyDescent="0.25">
      <c r="A54" s="18"/>
      <c r="B54" s="42"/>
      <c r="C54" s="15" t="str">
        <f>_xll.ohRangeRetrieveError(B54)</f>
        <v/>
      </c>
      <c r="E54" s="15" t="str">
        <f>_xll.ohRangeRetrieveError(D54)</f>
        <v/>
      </c>
      <c r="F54" s="24">
        <f t="shared" si="1"/>
        <v>118.87222222222222</v>
      </c>
      <c r="G54" s="24">
        <f t="shared" si="2"/>
        <v>1</v>
      </c>
      <c r="J54" s="18">
        <f t="shared" si="3"/>
        <v>52290</v>
      </c>
      <c r="K54" s="18">
        <f t="shared" si="0"/>
        <v>52471</v>
      </c>
      <c r="L54" s="39">
        <f>_xll.qlYieldTSForwardRate('9.Piecewise_YieldCurve_SW6'!$D$2,'10.CurvaSwap6M'!J54,'10.CurvaSwap6M'!K54,'10.CurvaSwap6M'!$I$3,'10.CurvaSwap6M'!$I$7,'10.CurvaSwap6M'!$I$5)</f>
        <v>1.4287051405231928E-2</v>
      </c>
    </row>
    <row r="55" spans="1:14" x14ac:dyDescent="0.25">
      <c r="A55" s="18"/>
      <c r="B55" s="42"/>
      <c r="C55" s="15" t="str">
        <f>_xll.ohRangeRetrieveError(B55)</f>
        <v/>
      </c>
      <c r="E55" s="15" t="str">
        <f>_xll.ohRangeRetrieveError(D55)</f>
        <v/>
      </c>
      <c r="F55" s="24">
        <f t="shared" si="1"/>
        <v>118.87222222222222</v>
      </c>
      <c r="G55" s="24">
        <f t="shared" si="2"/>
        <v>1</v>
      </c>
      <c r="J55" s="18">
        <f t="shared" si="3"/>
        <v>52471</v>
      </c>
      <c r="K55" s="18">
        <f t="shared" si="0"/>
        <v>52655</v>
      </c>
      <c r="L55" s="39">
        <f>_xll.qlYieldTSForwardRate('9.Piecewise_YieldCurve_SW6'!$D$2,'10.CurvaSwap6M'!J55,'10.CurvaSwap6M'!K55,'10.CurvaSwap6M'!$I$3,'10.CurvaSwap6M'!$I$7,'10.CurvaSwap6M'!$I$5)</f>
        <v>1.4287899908973308E-2</v>
      </c>
    </row>
    <row r="56" spans="1:14" x14ac:dyDescent="0.25">
      <c r="A56" s="18"/>
      <c r="B56" s="42"/>
      <c r="C56" s="15" t="str">
        <f>_xll.ohRangeRetrieveError(B56)</f>
        <v/>
      </c>
      <c r="E56" s="15" t="str">
        <f>_xll.ohRangeRetrieveError(D56)</f>
        <v/>
      </c>
      <c r="F56" s="24">
        <f t="shared" si="1"/>
        <v>118.87222222222222</v>
      </c>
      <c r="G56" s="24">
        <f t="shared" si="2"/>
        <v>1</v>
      </c>
      <c r="J56" s="18">
        <f t="shared" si="3"/>
        <v>52655</v>
      </c>
      <c r="K56" s="18">
        <f t="shared" si="0"/>
        <v>52837</v>
      </c>
      <c r="L56" s="39">
        <f>_xll.qlYieldTSForwardRate('9.Piecewise_YieldCurve_SW6'!$D$2,'10.CurvaSwap6M'!J56,'10.CurvaSwap6M'!K56,'10.CurvaSwap6M'!$I$3,'10.CurvaSwap6M'!$I$7,'10.CurvaSwap6M'!$I$5)</f>
        <v>1.4043116978852264E-2</v>
      </c>
    </row>
    <row r="57" spans="1:14" x14ac:dyDescent="0.25">
      <c r="A57" s="18"/>
      <c r="B57" s="42"/>
      <c r="C57" s="15" t="str">
        <f>_xll.ohRangeRetrieveError(B57)</f>
        <v/>
      </c>
      <c r="E57" s="15" t="str">
        <f>_xll.ohRangeRetrieveError(D57)</f>
        <v/>
      </c>
      <c r="F57" s="24">
        <f t="shared" si="1"/>
        <v>118.87222222222222</v>
      </c>
      <c r="G57" s="24">
        <f t="shared" si="2"/>
        <v>1</v>
      </c>
      <c r="J57" s="18">
        <f t="shared" si="3"/>
        <v>52837</v>
      </c>
      <c r="K57" s="18">
        <f t="shared" si="0"/>
        <v>53021</v>
      </c>
      <c r="L57" s="39">
        <f>_xll.qlYieldTSForwardRate('9.Piecewise_YieldCurve_SW6'!$D$2,'10.CurvaSwap6M'!J57,'10.CurvaSwap6M'!K57,'10.CurvaSwap6M'!$I$3,'10.CurvaSwap6M'!$I$7,'10.CurvaSwap6M'!$I$5)</f>
        <v>1.4042314216042852E-2</v>
      </c>
      <c r="M57" s="13" t="s">
        <v>316</v>
      </c>
    </row>
    <row r="58" spans="1:14" x14ac:dyDescent="0.25">
      <c r="A58" s="18"/>
      <c r="B58" s="42"/>
      <c r="C58" s="15" t="str">
        <f>_xll.ohRangeRetrieveError(B58)</f>
        <v/>
      </c>
      <c r="E58" s="15" t="str">
        <f>_xll.ohRangeRetrieveError(D58)</f>
        <v/>
      </c>
      <c r="F58" s="24">
        <f t="shared" si="1"/>
        <v>118.87222222222222</v>
      </c>
      <c r="G58" s="24">
        <f t="shared" si="2"/>
        <v>1</v>
      </c>
      <c r="J58" s="18">
        <f t="shared" si="3"/>
        <v>53021</v>
      </c>
      <c r="K58" s="18">
        <f t="shared" si="0"/>
        <v>53202</v>
      </c>
      <c r="L58" s="39">
        <f>_xll.qlYieldTSForwardRate('9.Piecewise_YieldCurve_SW6'!$D$2,'10.CurvaSwap6M'!J58,'10.CurvaSwap6M'!K58,'10.CurvaSwap6M'!$I$3,'10.CurvaSwap6M'!$I$7,'10.CurvaSwap6M'!$I$5)</f>
        <v>1.3820214516644318E-2</v>
      </c>
    </row>
    <row r="59" spans="1:14" x14ac:dyDescent="0.25">
      <c r="A59" s="18"/>
      <c r="B59" s="42"/>
      <c r="C59" s="15" t="str">
        <f>_xll.ohRangeRetrieveError(B59)</f>
        <v/>
      </c>
      <c r="E59" s="15" t="str">
        <f>_xll.ohRangeRetrieveError(D59)</f>
        <v/>
      </c>
      <c r="F59" s="24">
        <f t="shared" si="1"/>
        <v>118.87222222222222</v>
      </c>
      <c r="G59" s="24">
        <f t="shared" si="2"/>
        <v>1</v>
      </c>
      <c r="J59" s="18">
        <f t="shared" si="3"/>
        <v>53202</v>
      </c>
      <c r="K59" s="18">
        <f t="shared" si="0"/>
        <v>53386</v>
      </c>
      <c r="L59" s="39">
        <f>_xll.qlYieldTSForwardRate('9.Piecewise_YieldCurve_SW6'!$D$2,'10.CurvaSwap6M'!J59,'10.CurvaSwap6M'!K59,'10.CurvaSwap6M'!$I$3,'10.CurvaSwap6M'!$I$7,'10.CurvaSwap6M'!$I$5)</f>
        <v>1.3821008536522211E-2</v>
      </c>
      <c r="M59" t="s">
        <v>217</v>
      </c>
    </row>
    <row r="60" spans="1:14" x14ac:dyDescent="0.25">
      <c r="A60" s="18"/>
      <c r="B60" s="42"/>
      <c r="C60" s="15" t="str">
        <f>_xll.ohRangeRetrieveError(B60)</f>
        <v/>
      </c>
      <c r="E60" s="15" t="str">
        <f>_xll.ohRangeRetrieveError(D60)</f>
        <v/>
      </c>
      <c r="F60" s="24">
        <f t="shared" si="1"/>
        <v>118.87222222222222</v>
      </c>
      <c r="G60" s="24">
        <f t="shared" si="2"/>
        <v>1</v>
      </c>
      <c r="J60" s="18">
        <f t="shared" si="3"/>
        <v>53386</v>
      </c>
      <c r="K60" s="18">
        <f t="shared" si="0"/>
        <v>53567</v>
      </c>
      <c r="L60" s="39">
        <f>_xll.qlYieldTSForwardRate('9.Piecewise_YieldCurve_SW6'!$D$2,'10.CurvaSwap6M'!J60,'10.CurvaSwap6M'!K60,'10.CurvaSwap6M'!$I$3,'10.CurvaSwap6M'!$I$7,'10.CurvaSwap6M'!$I$5)</f>
        <v>1.3524959786484611E-2</v>
      </c>
      <c r="M60" t="s">
        <v>317</v>
      </c>
    </row>
    <row r="61" spans="1:14" x14ac:dyDescent="0.25">
      <c r="A61" s="18"/>
      <c r="B61" s="42"/>
      <c r="C61" s="15" t="str">
        <f>_xll.ohRangeRetrieveError(B61)</f>
        <v/>
      </c>
      <c r="E61" s="15" t="str">
        <f>_xll.ohRangeRetrieveError(D61)</f>
        <v/>
      </c>
      <c r="F61" s="24">
        <f t="shared" si="1"/>
        <v>118.87222222222222</v>
      </c>
      <c r="G61" s="24">
        <f t="shared" si="2"/>
        <v>1</v>
      </c>
      <c r="J61" s="18">
        <f t="shared" si="3"/>
        <v>53567</v>
      </c>
      <c r="K61" s="18">
        <f t="shared" si="0"/>
        <v>53751</v>
      </c>
      <c r="L61" s="39">
        <f>_xll.qlYieldTSForwardRate('9.Piecewise_YieldCurve_SW6'!$D$2,'10.CurvaSwap6M'!J61,'10.CurvaSwap6M'!K61,'10.CurvaSwap6M'!$I$3,'10.CurvaSwap6M'!$I$7,'10.CurvaSwap6M'!$I$5)</f>
        <v>1.3525720278763571E-2</v>
      </c>
      <c r="M61" t="s">
        <v>109</v>
      </c>
    </row>
    <row r="62" spans="1:14" x14ac:dyDescent="0.25">
      <c r="A62" s="18"/>
      <c r="B62" s="42"/>
      <c r="C62" s="15" t="str">
        <f>_xll.ohRangeRetrieveError(B62)</f>
        <v/>
      </c>
      <c r="E62" s="15" t="str">
        <f>_xll.ohRangeRetrieveError(D62)</f>
        <v/>
      </c>
      <c r="F62" s="24">
        <f t="shared" si="1"/>
        <v>118.87222222222222</v>
      </c>
      <c r="G62" s="24">
        <f t="shared" si="2"/>
        <v>1</v>
      </c>
      <c r="J62" s="18">
        <f t="shared" si="3"/>
        <v>53751</v>
      </c>
      <c r="K62" s="18">
        <f t="shared" si="0"/>
        <v>53932</v>
      </c>
      <c r="L62" s="39">
        <f>_xll.qlYieldTSForwardRate('9.Piecewise_YieldCurve_SW6'!$D$2,'10.CurvaSwap6M'!J62,'10.CurvaSwap6M'!K62,'10.CurvaSwap6M'!$I$3,'10.CurvaSwap6M'!$I$7,'10.CurvaSwap6M'!$I$5)</f>
        <v>1.3235788119398274E-2</v>
      </c>
      <c r="M62" t="s">
        <v>318</v>
      </c>
    </row>
    <row r="63" spans="1:14" x14ac:dyDescent="0.25">
      <c r="A63" s="18"/>
      <c r="B63" s="42"/>
      <c r="C63" s="15" t="str">
        <f>_xll.ohRangeRetrieveError(B63)</f>
        <v/>
      </c>
      <c r="E63" s="15" t="str">
        <f>_xll.ohRangeRetrieveError(D63)</f>
        <v/>
      </c>
      <c r="F63" s="24">
        <f t="shared" si="1"/>
        <v>118.87222222222222</v>
      </c>
      <c r="G63" s="24">
        <f t="shared" si="2"/>
        <v>1</v>
      </c>
      <c r="J63" s="18">
        <f t="shared" si="3"/>
        <v>53932</v>
      </c>
      <c r="K63" s="18">
        <f t="shared" si="0"/>
        <v>54116</v>
      </c>
      <c r="L63" s="39">
        <f>_xll.qlYieldTSForwardRate('9.Piecewise_YieldCurve_SW6'!$D$2,'10.CurvaSwap6M'!J63,'10.CurvaSwap6M'!K63,'10.CurvaSwap6M'!$I$3,'10.CurvaSwap6M'!$I$7,'10.CurvaSwap6M'!$I$5)</f>
        <v>1.3236516474326106E-2</v>
      </c>
      <c r="M63" t="s">
        <v>319</v>
      </c>
    </row>
    <row r="64" spans="1:14" x14ac:dyDescent="0.25">
      <c r="A64" s="18"/>
      <c r="B64" s="42"/>
      <c r="C64" s="15" t="str">
        <f>_xll.ohRangeRetrieveError(B64)</f>
        <v/>
      </c>
      <c r="E64" s="15" t="str">
        <f>_xll.ohRangeRetrieveError(D64)</f>
        <v/>
      </c>
      <c r="F64" s="24">
        <f t="shared" si="1"/>
        <v>118.87222222222222</v>
      </c>
      <c r="G64" s="24">
        <f t="shared" si="2"/>
        <v>1</v>
      </c>
      <c r="J64" s="18">
        <f t="shared" si="3"/>
        <v>54116</v>
      </c>
      <c r="K64" s="18">
        <f t="shared" si="0"/>
        <v>54298</v>
      </c>
      <c r="L64" s="39">
        <f>_xll.qlYieldTSForwardRate('9.Piecewise_YieldCurve_SW6'!$D$2,'10.CurvaSwap6M'!J64,'10.CurvaSwap6M'!K64,'10.CurvaSwap6M'!$I$3,'10.CurvaSwap6M'!$I$7,'10.CurvaSwap6M'!$I$5)</f>
        <v>1.3236030898440179E-2</v>
      </c>
      <c r="M64" t="s">
        <v>280</v>
      </c>
    </row>
    <row r="65" spans="1:14" x14ac:dyDescent="0.25">
      <c r="A65" s="18"/>
      <c r="B65" s="42"/>
      <c r="C65" s="15" t="str">
        <f>_xll.ohRangeRetrieveError(B65)</f>
        <v/>
      </c>
      <c r="E65" s="15" t="str">
        <f>_xll.ohRangeRetrieveError(D65)</f>
        <v/>
      </c>
      <c r="F65" s="24">
        <f t="shared" si="1"/>
        <v>118.87222222222222</v>
      </c>
      <c r="G65" s="24">
        <f t="shared" si="2"/>
        <v>1</v>
      </c>
      <c r="J65" s="18">
        <f t="shared" si="3"/>
        <v>54298</v>
      </c>
      <c r="K65" s="18">
        <f t="shared" si="0"/>
        <v>54482</v>
      </c>
      <c r="L65" s="39">
        <f>_xll.qlYieldTSForwardRate('9.Piecewise_YieldCurve_SW6'!$D$2,'10.CurvaSwap6M'!J65,'10.CurvaSwap6M'!K65,'10.CurvaSwap6M'!$I$3,'10.CurvaSwap6M'!$I$7,'10.CurvaSwap6M'!$I$5)</f>
        <v>1.323651647432654E-2</v>
      </c>
      <c r="M65" t="s">
        <v>281</v>
      </c>
    </row>
    <row r="66" spans="1:14" x14ac:dyDescent="0.25">
      <c r="A66" s="18"/>
      <c r="B66" s="42"/>
      <c r="C66" s="15" t="str">
        <f>_xll.ohRangeRetrieveError(B66)</f>
        <v/>
      </c>
      <c r="E66" s="15" t="str">
        <f>_xll.ohRangeRetrieveError(D66)</f>
        <v/>
      </c>
      <c r="F66" s="24">
        <f t="shared" si="1"/>
        <v>118.87222222222222</v>
      </c>
      <c r="G66" s="24">
        <f t="shared" si="2"/>
        <v>1</v>
      </c>
      <c r="J66" s="18">
        <f t="shared" si="3"/>
        <v>54482</v>
      </c>
      <c r="K66" s="18">
        <f t="shared" si="0"/>
        <v>54663</v>
      </c>
      <c r="L66" s="39">
        <f>_xll.qlYieldTSForwardRate('9.Piecewise_YieldCurve_SW6'!$D$2,'10.CurvaSwap6M'!J66,'10.CurvaSwap6M'!K66,'10.CurvaSwap6M'!$I$3,'10.CurvaSwap6M'!$I$7,'10.CurvaSwap6M'!$I$5)</f>
        <v>1.3235788119397834E-2</v>
      </c>
      <c r="M66" t="s">
        <v>282</v>
      </c>
    </row>
    <row r="67" spans="1:14" x14ac:dyDescent="0.25">
      <c r="A67" s="18"/>
      <c r="B67" s="42"/>
      <c r="C67" s="15" t="str">
        <f>_xll.ohRangeRetrieveError(B67)</f>
        <v/>
      </c>
      <c r="E67" s="15" t="str">
        <f>_xll.ohRangeRetrieveError(D67)</f>
        <v/>
      </c>
      <c r="F67" s="24">
        <f t="shared" si="1"/>
        <v>118.87222222222222</v>
      </c>
      <c r="G67" s="24">
        <f t="shared" si="2"/>
        <v>1</v>
      </c>
      <c r="J67" s="18">
        <f t="shared" si="3"/>
        <v>54663</v>
      </c>
      <c r="K67" s="18">
        <f t="shared" ref="K67:K81" si="4">DATE(YEAR(J67),MONTH(J67)+6,DAY(J67))</f>
        <v>54847</v>
      </c>
      <c r="L67" s="39">
        <f>_xll.qlYieldTSForwardRate('9.Piecewise_YieldCurve_SW6'!$D$2,'10.CurvaSwap6M'!J67,'10.CurvaSwap6M'!K67,'10.CurvaSwap6M'!$I$3,'10.CurvaSwap6M'!$I$7,'10.CurvaSwap6M'!$I$5)</f>
        <v>1.3236516474326106E-2</v>
      </c>
      <c r="M67" t="s">
        <v>283</v>
      </c>
    </row>
    <row r="68" spans="1:14" x14ac:dyDescent="0.25">
      <c r="A68" s="18"/>
      <c r="B68" s="42"/>
      <c r="C68" s="15" t="str">
        <f>_xll.ohRangeRetrieveError(B68)</f>
        <v/>
      </c>
      <c r="E68" s="15" t="str">
        <f>_xll.ohRangeRetrieveError(D68)</f>
        <v/>
      </c>
      <c r="F68" s="24">
        <f t="shared" ref="F68:F81" si="5">YEARFRAC($I$6,A68,2)</f>
        <v>118.87222222222222</v>
      </c>
      <c r="G68" s="24">
        <f t="shared" ref="G68:G81" si="6">EXP(-F68*B68)</f>
        <v>1</v>
      </c>
      <c r="J68" s="18">
        <f t="shared" ref="J68:J81" si="7">+K67</f>
        <v>54847</v>
      </c>
      <c r="K68" s="18">
        <f t="shared" si="4"/>
        <v>55028</v>
      </c>
      <c r="L68" s="39">
        <f>_xll.qlYieldTSForwardRate('9.Piecewise_YieldCurve_SW6'!$D$2,'10.CurvaSwap6M'!J68,'10.CurvaSwap6M'!K68,'10.CurvaSwap6M'!$I$3,'10.CurvaSwap6M'!$I$7,'10.CurvaSwap6M'!$I$5)</f>
        <v>1.3235788119398274E-2</v>
      </c>
      <c r="M68" t="s">
        <v>226</v>
      </c>
    </row>
    <row r="69" spans="1:14" x14ac:dyDescent="0.25">
      <c r="A69" s="18"/>
      <c r="B69" s="42"/>
      <c r="C69" s="15" t="str">
        <f>_xll.ohRangeRetrieveError(B69)</f>
        <v/>
      </c>
      <c r="E69" s="15" t="str">
        <f>_xll.ohRangeRetrieveError(D69)</f>
        <v/>
      </c>
      <c r="F69" s="24">
        <f t="shared" si="5"/>
        <v>118.87222222222222</v>
      </c>
      <c r="G69" s="24">
        <f t="shared" si="6"/>
        <v>1</v>
      </c>
      <c r="J69" s="18">
        <f t="shared" si="7"/>
        <v>55028</v>
      </c>
      <c r="K69" s="18">
        <f t="shared" si="4"/>
        <v>55212</v>
      </c>
      <c r="L69" s="39">
        <f>_xll.qlYieldTSForwardRate('9.Piecewise_YieldCurve_SW6'!$D$2,'10.CurvaSwap6M'!J69,'10.CurvaSwap6M'!K69,'10.CurvaSwap6M'!$I$3,'10.CurvaSwap6M'!$I$7,'10.CurvaSwap6M'!$I$5)</f>
        <v>1.323651647432654E-2</v>
      </c>
    </row>
    <row r="70" spans="1:14" x14ac:dyDescent="0.25">
      <c r="A70" s="18"/>
      <c r="B70" s="42"/>
      <c r="C70" s="15" t="str">
        <f>_xll.ohRangeRetrieveError(B70)</f>
        <v/>
      </c>
      <c r="E70" s="15" t="str">
        <f>_xll.ohRangeRetrieveError(D70)</f>
        <v/>
      </c>
      <c r="F70" s="24">
        <f t="shared" si="5"/>
        <v>118.87222222222222</v>
      </c>
      <c r="G70" s="24">
        <f t="shared" si="6"/>
        <v>1</v>
      </c>
      <c r="J70" s="18">
        <f t="shared" si="7"/>
        <v>55212</v>
      </c>
      <c r="K70" s="18">
        <f t="shared" si="4"/>
        <v>55393</v>
      </c>
      <c r="L70" s="39">
        <f>_xll.qlYieldTSForwardRate('9.Piecewise_YieldCurve_SW6'!$D$2,'10.CurvaSwap6M'!J70,'10.CurvaSwap6M'!K70,'10.CurvaSwap6M'!$I$3,'10.CurvaSwap6M'!$I$7,'10.CurvaSwap6M'!$I$5)</f>
        <v>1.3235788119397834E-2</v>
      </c>
      <c r="M70" t="s">
        <v>114</v>
      </c>
    </row>
    <row r="71" spans="1:14" x14ac:dyDescent="0.25">
      <c r="A71" s="18"/>
      <c r="B71" s="42"/>
      <c r="C71" s="15" t="str">
        <f>_xll.ohRangeRetrieveError(B71)</f>
        <v/>
      </c>
      <c r="E71" s="15" t="str">
        <f>_xll.ohRangeRetrieveError(D71)</f>
        <v/>
      </c>
      <c r="F71" s="24">
        <f t="shared" si="5"/>
        <v>118.87222222222222</v>
      </c>
      <c r="G71" s="24">
        <f t="shared" si="6"/>
        <v>1</v>
      </c>
      <c r="J71" s="18">
        <f t="shared" si="7"/>
        <v>55393</v>
      </c>
      <c r="K71" s="18">
        <f t="shared" si="4"/>
        <v>55577</v>
      </c>
      <c r="L71" s="39">
        <f>_xll.qlYieldTSForwardRate('9.Piecewise_YieldCurve_SW6'!$D$2,'10.CurvaSwap6M'!J71,'10.CurvaSwap6M'!K71,'10.CurvaSwap6M'!$I$3,'10.CurvaSwap6M'!$I$7,'10.CurvaSwap6M'!$I$5)</f>
        <v>1.323651647432654E-2</v>
      </c>
    </row>
    <row r="72" spans="1:14" x14ac:dyDescent="0.25">
      <c r="A72" s="18"/>
      <c r="B72" s="42"/>
      <c r="C72" s="15" t="str">
        <f>_xll.ohRangeRetrieveError(B72)</f>
        <v/>
      </c>
      <c r="E72" s="15" t="str">
        <f>_xll.ohRangeRetrieveError(D72)</f>
        <v/>
      </c>
      <c r="F72" s="24">
        <f t="shared" si="5"/>
        <v>118.87222222222222</v>
      </c>
      <c r="G72" s="24">
        <f t="shared" si="6"/>
        <v>1</v>
      </c>
      <c r="J72" s="18">
        <f t="shared" si="7"/>
        <v>55577</v>
      </c>
      <c r="K72" s="18">
        <f t="shared" si="4"/>
        <v>55759</v>
      </c>
      <c r="L72" s="39">
        <f>_xll.qlYieldTSForwardRate('9.Piecewise_YieldCurve_SW6'!$D$2,'10.CurvaSwap6M'!J72,'10.CurvaSwap6M'!K72,'10.CurvaSwap6M'!$I$3,'10.CurvaSwap6M'!$I$7,'10.CurvaSwap6M'!$I$5)</f>
        <v>1.2233995036211087E-2</v>
      </c>
      <c r="M72" t="s">
        <v>324</v>
      </c>
    </row>
    <row r="73" spans="1:14" x14ac:dyDescent="0.25">
      <c r="A73" s="18"/>
      <c r="B73" s="42"/>
      <c r="C73" s="15" t="str">
        <f>_xll.ohRangeRetrieveError(B73)</f>
        <v/>
      </c>
      <c r="E73" s="15" t="str">
        <f>_xll.ohRangeRetrieveError(D73)</f>
        <v/>
      </c>
      <c r="F73" s="24">
        <f t="shared" si="5"/>
        <v>118.87222222222222</v>
      </c>
      <c r="G73" s="24">
        <f t="shared" si="6"/>
        <v>1</v>
      </c>
      <c r="J73" s="18">
        <f t="shared" si="7"/>
        <v>55759</v>
      </c>
      <c r="K73" s="18">
        <f t="shared" si="4"/>
        <v>55943</v>
      </c>
      <c r="L73" s="39">
        <f>_xll.qlYieldTSForwardRate('9.Piecewise_YieldCurve_SW6'!$D$2,'10.CurvaSwap6M'!J73,'10.CurvaSwap6M'!K73,'10.CurvaSwap6M'!$I$3,'10.CurvaSwap6M'!$I$7,'10.CurvaSwap6M'!$I$5)</f>
        <v>1.2234409942854206E-2</v>
      </c>
    </row>
    <row r="74" spans="1:14" x14ac:dyDescent="0.25">
      <c r="A74" s="18"/>
      <c r="B74" s="42"/>
      <c r="C74" s="15" t="str">
        <f>_xll.ohRangeRetrieveError(B74)</f>
        <v/>
      </c>
      <c r="E74" s="15" t="str">
        <f>_xll.ohRangeRetrieveError(D74)</f>
        <v/>
      </c>
      <c r="F74" s="24">
        <f t="shared" si="5"/>
        <v>118.87222222222222</v>
      </c>
      <c r="G74" s="24">
        <f t="shared" si="6"/>
        <v>1</v>
      </c>
      <c r="J74" s="18">
        <f t="shared" si="7"/>
        <v>55943</v>
      </c>
      <c r="K74" s="18">
        <f t="shared" si="4"/>
        <v>56124</v>
      </c>
      <c r="L74" s="39">
        <f>_xll.qlYieldTSForwardRate('9.Piecewise_YieldCurve_SW6'!$D$2,'10.CurvaSwap6M'!J74,'10.CurvaSwap6M'!K74,'10.CurvaSwap6M'!$I$3,'10.CurvaSwap6M'!$I$7,'10.CurvaSwap6M'!$I$5)</f>
        <v>1.2233787589921465E-2</v>
      </c>
      <c r="M74" t="s">
        <v>116</v>
      </c>
    </row>
    <row r="75" spans="1:14" x14ac:dyDescent="0.25">
      <c r="A75" s="18"/>
      <c r="B75" s="42"/>
      <c r="C75" s="15" t="str">
        <f>_xll.ohRangeRetrieveError(B75)</f>
        <v/>
      </c>
      <c r="E75" s="15" t="str">
        <f>_xll.ohRangeRetrieveError(D75)</f>
        <v/>
      </c>
      <c r="F75" s="24">
        <f t="shared" si="5"/>
        <v>118.87222222222222</v>
      </c>
      <c r="G75" s="24">
        <f t="shared" si="6"/>
        <v>1</v>
      </c>
      <c r="J75" s="18">
        <f t="shared" si="7"/>
        <v>56124</v>
      </c>
      <c r="K75" s="18">
        <f t="shared" si="4"/>
        <v>56308</v>
      </c>
      <c r="L75" s="39">
        <f>_xll.qlYieldTSForwardRate('9.Piecewise_YieldCurve_SW6'!$D$2,'10.CurvaSwap6M'!J75,'10.CurvaSwap6M'!K75,'10.CurvaSwap6M'!$I$3,'10.CurvaSwap6M'!$I$7,'10.CurvaSwap6M'!$I$5)</f>
        <v>1.2234409942853771E-2</v>
      </c>
    </row>
    <row r="76" spans="1:14" x14ac:dyDescent="0.25">
      <c r="A76" s="18"/>
      <c r="B76" s="42"/>
      <c r="C76" s="15" t="str">
        <f>_xll.ohRangeRetrieveError(B76)</f>
        <v/>
      </c>
      <c r="E76" s="15" t="str">
        <f>_xll.ohRangeRetrieveError(D76)</f>
        <v/>
      </c>
      <c r="F76" s="24">
        <f t="shared" si="5"/>
        <v>118.87222222222222</v>
      </c>
      <c r="G76" s="24">
        <f t="shared" si="6"/>
        <v>1</v>
      </c>
      <c r="J76" s="18">
        <f t="shared" si="7"/>
        <v>56308</v>
      </c>
      <c r="K76" s="18">
        <f t="shared" si="4"/>
        <v>56489</v>
      </c>
      <c r="L76" s="39">
        <f>_xll.qlYieldTSForwardRate('9.Piecewise_YieldCurve_SW6'!$D$2,'10.CurvaSwap6M'!J76,'10.CurvaSwap6M'!K76,'10.CurvaSwap6M'!$I$3,'10.CurvaSwap6M'!$I$7,'10.CurvaSwap6M'!$I$5)</f>
        <v>1.2233787589921465E-2</v>
      </c>
      <c r="M76" t="s">
        <v>228</v>
      </c>
    </row>
    <row r="77" spans="1:14" x14ac:dyDescent="0.25">
      <c r="A77" s="18"/>
      <c r="B77" s="42"/>
      <c r="C77" s="15" t="str">
        <f>_xll.ohRangeRetrieveError(B77)</f>
        <v/>
      </c>
      <c r="E77" s="15" t="str">
        <f>_xll.ohRangeRetrieveError(D77)</f>
        <v/>
      </c>
      <c r="F77" s="24">
        <f t="shared" si="5"/>
        <v>118.87222222222222</v>
      </c>
      <c r="G77" s="24">
        <f t="shared" si="6"/>
        <v>1</v>
      </c>
      <c r="J77" s="18">
        <f t="shared" si="7"/>
        <v>56489</v>
      </c>
      <c r="K77" s="18">
        <f t="shared" si="4"/>
        <v>56673</v>
      </c>
      <c r="L77" s="39">
        <f>_xll.qlYieldTSForwardRate('9.Piecewise_YieldCurve_SW6'!$D$2,'10.CurvaSwap6M'!J77,'10.CurvaSwap6M'!K77,'10.CurvaSwap6M'!$I$3,'10.CurvaSwap6M'!$I$7,'10.CurvaSwap6M'!$I$5)</f>
        <v>1.2234409942853771E-2</v>
      </c>
    </row>
    <row r="78" spans="1:14" x14ac:dyDescent="0.25">
      <c r="A78" s="18"/>
      <c r="B78" s="42"/>
      <c r="C78" s="15" t="str">
        <f>_xll.ohRangeRetrieveError(B78)</f>
        <v/>
      </c>
      <c r="E78" s="15" t="str">
        <f>_xll.ohRangeRetrieveError(D78)</f>
        <v/>
      </c>
      <c r="F78" s="24">
        <f t="shared" si="5"/>
        <v>118.87222222222222</v>
      </c>
      <c r="G78" s="24">
        <f t="shared" si="6"/>
        <v>1</v>
      </c>
      <c r="J78" s="18">
        <f t="shared" si="7"/>
        <v>56673</v>
      </c>
      <c r="K78" s="18">
        <f t="shared" si="4"/>
        <v>56854</v>
      </c>
      <c r="L78" s="39">
        <f>_xll.qlYieldTSForwardRate('9.Piecewise_YieldCurve_SW6'!$D$2,'10.CurvaSwap6M'!J78,'10.CurvaSwap6M'!K78,'10.CurvaSwap6M'!$I$3,'10.CurvaSwap6M'!$I$7,'10.CurvaSwap6M'!$I$5)</f>
        <v>1.2233787589921025E-2</v>
      </c>
      <c r="M78" t="s">
        <v>118</v>
      </c>
    </row>
    <row r="79" spans="1:14" ht="30" x14ac:dyDescent="0.25">
      <c r="A79" s="18"/>
      <c r="B79" s="42"/>
      <c r="C79" s="15" t="str">
        <f>_xll.ohRangeRetrieveError(B79)</f>
        <v/>
      </c>
      <c r="E79" s="15" t="str">
        <f>_xll.ohRangeRetrieveError(D79)</f>
        <v/>
      </c>
      <c r="F79" s="24">
        <f t="shared" si="5"/>
        <v>118.87222222222222</v>
      </c>
      <c r="G79" s="24">
        <f t="shared" si="6"/>
        <v>1</v>
      </c>
      <c r="J79" s="18">
        <f t="shared" si="7"/>
        <v>56854</v>
      </c>
      <c r="K79" s="18">
        <f t="shared" si="4"/>
        <v>57038</v>
      </c>
      <c r="L79" s="39">
        <f>_xll.qlYieldTSForwardRate('9.Piecewise_YieldCurve_SW6'!$D$2,'10.CurvaSwap6M'!J79,'10.CurvaSwap6M'!K79,'10.CurvaSwap6M'!$I$3,'10.CurvaSwap6M'!$I$7,'10.CurvaSwap6M'!$I$5)</f>
        <v>1.2234409942853771E-2</v>
      </c>
      <c r="M79" s="14" t="s">
        <v>119</v>
      </c>
      <c r="N79" s="14" t="s">
        <v>286</v>
      </c>
    </row>
    <row r="80" spans="1:14" x14ac:dyDescent="0.25">
      <c r="A80" s="18"/>
      <c r="B80" s="42"/>
      <c r="C80" s="15" t="str">
        <f>_xll.ohRangeRetrieveError(B80)</f>
        <v/>
      </c>
      <c r="E80" s="15" t="str">
        <f>_xll.ohRangeRetrieveError(D80)</f>
        <v/>
      </c>
      <c r="F80" s="24">
        <f t="shared" si="5"/>
        <v>118.87222222222222</v>
      </c>
      <c r="G80" s="24">
        <f t="shared" si="6"/>
        <v>1</v>
      </c>
      <c r="J80" s="18">
        <f t="shared" si="7"/>
        <v>57038</v>
      </c>
      <c r="K80" s="18">
        <f t="shared" si="4"/>
        <v>57220</v>
      </c>
      <c r="L80" s="39">
        <f>_xll.qlYieldTSForwardRate('9.Piecewise_YieldCurve_SW6'!$D$2,'10.CurvaSwap6M'!J80,'10.CurvaSwap6M'!K80,'10.CurvaSwap6M'!$I$3,'10.CurvaSwap6M'!$I$7,'10.CurvaSwap6M'!$I$5)</f>
        <v>1.2233995036211087E-2</v>
      </c>
      <c r="M80" s="14" t="s">
        <v>325</v>
      </c>
      <c r="N80" s="14" t="s">
        <v>326</v>
      </c>
    </row>
    <row r="81" spans="1:14" x14ac:dyDescent="0.25">
      <c r="A81" s="18"/>
      <c r="B81" s="42"/>
      <c r="C81" s="15" t="str">
        <f>_xll.ohRangeRetrieveError(B81)</f>
        <v/>
      </c>
      <c r="E81" s="15" t="str">
        <f>_xll.ohRangeRetrieveError(D81)</f>
        <v/>
      </c>
      <c r="F81" s="24">
        <f t="shared" si="5"/>
        <v>118.87222222222222</v>
      </c>
      <c r="G81" s="24">
        <f t="shared" si="6"/>
        <v>1</v>
      </c>
      <c r="J81" s="18">
        <f t="shared" si="7"/>
        <v>57220</v>
      </c>
      <c r="K81" s="18">
        <f t="shared" si="4"/>
        <v>57404</v>
      </c>
      <c r="L81" s="39">
        <f>_xll.qlYieldTSForwardRate('9.Piecewise_YieldCurve_SW6'!$D$2,'10.CurvaSwap6M'!J81,'10.CurvaSwap6M'!K81,'10.CurvaSwap6M'!$I$3,'10.CurvaSwap6M'!$I$7,'10.CurvaSwap6M'!$I$5)</f>
        <v>1.2234409942853771E-2</v>
      </c>
      <c r="M81" s="14" t="s">
        <v>327</v>
      </c>
      <c r="N81" s="14" t="s">
        <v>328</v>
      </c>
    </row>
    <row r="82" spans="1:14" x14ac:dyDescent="0.25">
      <c r="L82" s="30"/>
      <c r="M82" s="14" t="s">
        <v>288</v>
      </c>
      <c r="N82" s="14" t="s">
        <v>329</v>
      </c>
    </row>
    <row r="83" spans="1:14" ht="60" x14ac:dyDescent="0.25">
      <c r="L83" s="30"/>
      <c r="M83" s="14" t="s">
        <v>290</v>
      </c>
      <c r="N83" s="14" t="s">
        <v>330</v>
      </c>
    </row>
    <row r="84" spans="1:14" ht="45" x14ac:dyDescent="0.25">
      <c r="L84" s="30"/>
      <c r="M84" s="14" t="s">
        <v>292</v>
      </c>
      <c r="N84" s="14" t="s">
        <v>293</v>
      </c>
    </row>
    <row r="85" spans="1:14" ht="30" x14ac:dyDescent="0.25">
      <c r="L85" s="30"/>
      <c r="M85" s="14" t="s">
        <v>294</v>
      </c>
      <c r="N85" s="14" t="s">
        <v>295</v>
      </c>
    </row>
    <row r="86" spans="1:14" x14ac:dyDescent="0.25">
      <c r="L86" s="30"/>
      <c r="M86" s="14" t="s">
        <v>125</v>
      </c>
      <c r="N86" s="14" t="s">
        <v>126</v>
      </c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6"/>
  <sheetViews>
    <sheetView topLeftCell="E1" workbookViewId="0">
      <selection activeCell="J17" sqref="J17"/>
    </sheetView>
  </sheetViews>
  <sheetFormatPr defaultColWidth="37" defaultRowHeight="15" x14ac:dyDescent="0.25"/>
  <cols>
    <col min="2" max="2" width="47.28515625" bestFit="1" customWidth="1"/>
    <col min="4" max="4" width="51.140625" bestFit="1" customWidth="1"/>
    <col min="6" max="7" width="12" style="23" bestFit="1" customWidth="1"/>
  </cols>
  <sheetData>
    <row r="1" spans="1:18" ht="15.75" thickBot="1" x14ac:dyDescent="0.3">
      <c r="A1" s="41" t="s">
        <v>297</v>
      </c>
      <c r="B1" s="11" t="s">
        <v>302</v>
      </c>
      <c r="C1" s="22" t="s">
        <v>303</v>
      </c>
      <c r="D1" t="s">
        <v>629</v>
      </c>
      <c r="E1" s="22" t="s">
        <v>303</v>
      </c>
      <c r="F1" s="25" t="s">
        <v>322</v>
      </c>
      <c r="G1" s="25" t="s">
        <v>323</v>
      </c>
      <c r="H1" s="21" t="s">
        <v>321</v>
      </c>
      <c r="J1" s="40" t="s">
        <v>325</v>
      </c>
      <c r="K1" s="40" t="s">
        <v>327</v>
      </c>
      <c r="L1" s="40" t="s">
        <v>332</v>
      </c>
      <c r="M1" s="13" t="s">
        <v>277</v>
      </c>
    </row>
    <row r="2" spans="1:18" ht="16.5" x14ac:dyDescent="0.3">
      <c r="A2" s="18">
        <f>+'9.Curve'!K3</f>
        <v>42794</v>
      </c>
      <c r="B2" s="42">
        <f>_xll.qlYieldTSZeroRate('6.Piecewise_YieldCurve_ITL'!$B$2,'10.CurvaGovernativa'!A2,'10.CurvaGovernativa'!$I$3,'10.CurvaGovernativa'!$I$4,'10.CurvaGovernativa'!$I$5)</f>
        <v>-3.1113431275475033E-3</v>
      </c>
      <c r="C2" s="15" t="str">
        <f>_xll.ohRangeRetrieveError(B2)</f>
        <v/>
      </c>
      <c r="E2" s="15" t="str">
        <f>_xll.ohRangeRetrieveError(D2)</f>
        <v/>
      </c>
      <c r="F2" s="24"/>
      <c r="G2" s="31"/>
      <c r="H2" s="32" t="s">
        <v>298</v>
      </c>
      <c r="I2" s="35" t="s">
        <v>157</v>
      </c>
      <c r="J2" s="18">
        <f>+A2</f>
        <v>42794</v>
      </c>
      <c r="K2" s="18">
        <f>DATE(YEAR(J2),MONTH(J2)+6,DAY(J2))</f>
        <v>42975</v>
      </c>
      <c r="L2" s="39">
        <f>_xll.qlYieldTSForwardRate('6.Piecewise_YieldCurve_ITL'!$B$2,'10.CurvaGovernativa'!J2,'10.CurvaGovernativa'!K2,'10.CurvaGovernativa'!$I$3,'10.CurvaGovernativa'!$I$7,'10.CurvaGovernativa'!$I$5)</f>
        <v>-3.1065505606360567E-3</v>
      </c>
      <c r="M2" t="s">
        <v>217</v>
      </c>
      <c r="R2">
        <v>6</v>
      </c>
    </row>
    <row r="3" spans="1:18" ht="16.5" x14ac:dyDescent="0.3">
      <c r="A3" s="18">
        <f>+'9.Curve'!K4</f>
        <v>43021</v>
      </c>
      <c r="B3" s="42">
        <f>_xll.qlYieldTSZeroRate('6.Piecewise_YieldCurve_ITL'!$B$2,'10.CurvaGovernativa'!A3,'10.CurvaGovernativa'!$I$3,'10.CurvaGovernativa'!$I$4,'10.CurvaGovernativa'!$I$5)</f>
        <v>-3.1083372649529711E-3</v>
      </c>
      <c r="C3" s="15" t="str">
        <f>_xll.ohRangeRetrieveError(B3)</f>
        <v/>
      </c>
      <c r="E3" s="15" t="str">
        <f>_xll.ohRangeRetrieveError(D3)</f>
        <v/>
      </c>
      <c r="F3" s="24">
        <f>YEARFRAC($I$6,A3,2)</f>
        <v>0.63055555555555554</v>
      </c>
      <c r="G3" s="31">
        <f>EXP(-F3*B3)</f>
        <v>1.0019619013459435</v>
      </c>
      <c r="H3" s="33" t="s">
        <v>299</v>
      </c>
      <c r="I3" s="36" t="s">
        <v>630</v>
      </c>
      <c r="J3" s="18">
        <f>+K2</f>
        <v>42975</v>
      </c>
      <c r="K3" s="18">
        <f t="shared" ref="K3:K25" si="0">DATE(YEAR(J3),MONTH(J3)+6,DAY(J3))</f>
        <v>43159</v>
      </c>
      <c r="L3" s="39">
        <f>_xll.qlYieldTSForwardRate('6.Piecewise_YieldCurve_ITL'!$B$2,'10.CurvaGovernativa'!J3,'10.CurvaGovernativa'!K3,'10.CurvaGovernativa'!$I$3,'10.CurvaGovernativa'!$I$7,'10.CurvaGovernativa'!$I$5)</f>
        <v>1.9156297740423804E-3</v>
      </c>
      <c r="M3" t="s">
        <v>278</v>
      </c>
    </row>
    <row r="4" spans="1:18" ht="16.5" x14ac:dyDescent="0.3">
      <c r="A4" s="18">
        <f>+'9.Curve'!K5</f>
        <v>43525</v>
      </c>
      <c r="B4" s="42">
        <f>_xll.qlYieldTSZeroRate('6.Piecewise_YieldCurve_ITL'!$B$2,'10.CurvaGovernativa'!A4,'10.CurvaGovernativa'!$I$3,'10.CurvaGovernativa'!$I$4,'10.CurvaGovernativa'!$I$5)</f>
        <v>1.5132020213876299E-3</v>
      </c>
      <c r="C4" s="15" t="str">
        <f>_xll.ohRangeRetrieveError(B4)</f>
        <v/>
      </c>
      <c r="E4" s="15" t="str">
        <f>_xll.ohRangeRetrieveError(D4)</f>
        <v/>
      </c>
      <c r="F4" s="24">
        <f t="shared" ref="F4:F67" si="1">YEARFRAC($I$6,A4,2)</f>
        <v>2.0305555555555554</v>
      </c>
      <c r="G4" s="31">
        <f t="shared" ref="G4:G67" si="2">EXP(-F4*B4)</f>
        <v>0.99693207495829717</v>
      </c>
      <c r="H4" s="33" t="s">
        <v>290</v>
      </c>
      <c r="I4" s="36" t="s">
        <v>300</v>
      </c>
      <c r="J4" s="18">
        <f t="shared" ref="J4:J25" si="3">+K3</f>
        <v>43159</v>
      </c>
      <c r="K4" s="18">
        <f t="shared" si="0"/>
        <v>43340</v>
      </c>
      <c r="L4" s="39">
        <f>_xll.qlYieldTSForwardRate('6.Piecewise_YieldCurve_ITL'!$B$2,'10.CurvaGovernativa'!J4,'10.CurvaGovernativa'!K4,'10.CurvaGovernativa'!$I$3,'10.CurvaGovernativa'!$I$7,'10.CurvaGovernativa'!$I$5)</f>
        <v>3.5970948174136289E-3</v>
      </c>
      <c r="M4" t="s">
        <v>109</v>
      </c>
    </row>
    <row r="5" spans="1:18" ht="16.5" x14ac:dyDescent="0.3">
      <c r="A5" s="18">
        <f>+'9.Curve'!K6</f>
        <v>44136</v>
      </c>
      <c r="B5" s="42">
        <f>_xll.qlYieldTSZeroRate('6.Piecewise_YieldCurve_ITL'!$B$2,'10.CurvaGovernativa'!A5,'10.CurvaGovernativa'!$I$3,'10.CurvaGovernativa'!$I$4,'10.CurvaGovernativa'!$I$5)</f>
        <v>5.5458861465540969E-3</v>
      </c>
      <c r="C5" s="15" t="str">
        <f>_xll.ohRangeRetrieveError(B5)</f>
        <v/>
      </c>
      <c r="E5" s="15" t="str">
        <f>_xll.ohRangeRetrieveError(D5)</f>
        <v/>
      </c>
      <c r="F5" s="24">
        <f t="shared" si="1"/>
        <v>3.7277777777777779</v>
      </c>
      <c r="G5" s="31">
        <f t="shared" si="2"/>
        <v>0.97953840740083487</v>
      </c>
      <c r="H5" s="33" t="s">
        <v>292</v>
      </c>
      <c r="I5" s="36" t="s">
        <v>301</v>
      </c>
      <c r="J5" s="18">
        <f t="shared" si="3"/>
        <v>43340</v>
      </c>
      <c r="K5" s="18">
        <f t="shared" si="0"/>
        <v>43524</v>
      </c>
      <c r="L5" s="39">
        <f>_xll.qlYieldTSForwardRate('6.Piecewise_YieldCurve_ITL'!$B$2,'10.CurvaGovernativa'!J5,'10.CurvaGovernativa'!K5,'10.CurvaGovernativa'!$I$3,'10.CurvaGovernativa'!$I$7,'10.CurvaGovernativa'!$I$5)</f>
        <v>3.6036293866536576E-3</v>
      </c>
      <c r="M5" t="s">
        <v>279</v>
      </c>
    </row>
    <row r="6" spans="1:18" ht="16.5" x14ac:dyDescent="0.3">
      <c r="A6" s="18">
        <f>+'9.Curve'!K7</f>
        <v>44545</v>
      </c>
      <c r="B6" s="42">
        <f>_xll.qlYieldTSZeroRate('6.Piecewise_YieldCurve_ITL'!$B$2,'10.CurvaGovernativa'!A6,'10.CurvaGovernativa'!$I$3,'10.CurvaGovernativa'!$I$4,'10.CurvaGovernativa'!$I$5)</f>
        <v>1.0467666728504573E-2</v>
      </c>
      <c r="C6" s="15" t="str">
        <f>_xll.ohRangeRetrieveError(B6)</f>
        <v/>
      </c>
      <c r="E6" s="15" t="str">
        <f>_xll.ohRangeRetrieveError(D6)</f>
        <v/>
      </c>
      <c r="F6" s="24">
        <f t="shared" si="1"/>
        <v>4.8638888888888889</v>
      </c>
      <c r="G6" s="31">
        <f t="shared" si="2"/>
        <v>0.95036080866944606</v>
      </c>
      <c r="H6" s="33" t="s">
        <v>320</v>
      </c>
      <c r="I6" s="37">
        <f>+'9.Curve'!A3</f>
        <v>42794</v>
      </c>
      <c r="J6" s="18">
        <f t="shared" si="3"/>
        <v>43524</v>
      </c>
      <c r="K6" s="18">
        <f t="shared" si="0"/>
        <v>43705</v>
      </c>
      <c r="L6" s="39">
        <f>_xll.qlYieldTSForwardRate('6.Piecewise_YieldCurve_ITL'!$B$2,'10.CurvaGovernativa'!J6,'10.CurvaGovernativa'!K6,'10.CurvaGovernativa'!$I$3,'10.CurvaGovernativa'!$I$7,'10.CurvaGovernativa'!$I$5)</f>
        <v>1.030302862045139E-2</v>
      </c>
      <c r="M6" t="s">
        <v>280</v>
      </c>
    </row>
    <row r="7" spans="1:18" ht="17.25" thickBot="1" x14ac:dyDescent="0.35">
      <c r="A7" s="18">
        <f>+'9.Curve'!K8</f>
        <v>44666</v>
      </c>
      <c r="B7" s="42">
        <f>_xll.qlYieldTSZeroRate('6.Piecewise_YieldCurve_ITL'!$B$2,'10.CurvaGovernativa'!A7,'10.CurvaGovernativa'!$I$3,'10.CurvaGovernativa'!$I$4,'10.CurvaGovernativa'!$I$5)</f>
        <v>1.163030628410237E-2</v>
      </c>
      <c r="C7" s="15" t="str">
        <f>_xll.ohRangeRetrieveError(B7)</f>
        <v/>
      </c>
      <c r="E7" s="15" t="str">
        <f>_xll.ohRangeRetrieveError(D7)</f>
        <v/>
      </c>
      <c r="F7" s="24">
        <f t="shared" si="1"/>
        <v>5.2</v>
      </c>
      <c r="G7" s="31">
        <f t="shared" si="2"/>
        <v>0.94131486112792107</v>
      </c>
      <c r="H7" s="34" t="s">
        <v>331</v>
      </c>
      <c r="I7" s="38" t="s">
        <v>22</v>
      </c>
      <c r="J7" s="18">
        <f t="shared" si="3"/>
        <v>43705</v>
      </c>
      <c r="K7" s="18">
        <f t="shared" si="0"/>
        <v>43889</v>
      </c>
      <c r="L7" s="39">
        <f>_xll.qlYieldTSForwardRate('6.Piecewise_YieldCurve_ITL'!$B$2,'10.CurvaGovernativa'!J7,'10.CurvaGovernativa'!K7,'10.CurvaGovernativa'!$I$3,'10.CurvaGovernativa'!$I$7,'10.CurvaGovernativa'!$I$5)</f>
        <v>1.039427942658664E-2</v>
      </c>
      <c r="M7" t="s">
        <v>281</v>
      </c>
    </row>
    <row r="8" spans="1:18" x14ac:dyDescent="0.25">
      <c r="A8" s="18">
        <f>+'9.Curve'!K9</f>
        <v>44819</v>
      </c>
      <c r="B8" s="42">
        <f>_xll.qlYieldTSZeroRate('6.Piecewise_YieldCurve_ITL'!$B$2,'10.CurvaGovernativa'!A8,'10.CurvaGovernativa'!$I$3,'10.CurvaGovernativa'!$I$4,'10.CurvaGovernativa'!$I$5)</f>
        <v>1.2683769700516349E-2</v>
      </c>
      <c r="C8" s="15" t="str">
        <f>_xll.ohRangeRetrieveError(B8)</f>
        <v/>
      </c>
      <c r="E8" s="15" t="str">
        <f>_xll.ohRangeRetrieveError(D8)</f>
        <v/>
      </c>
      <c r="F8" s="24">
        <f t="shared" si="1"/>
        <v>5.625</v>
      </c>
      <c r="G8" s="24">
        <f t="shared" si="2"/>
        <v>0.93113947158298993</v>
      </c>
      <c r="J8" s="18">
        <f t="shared" si="3"/>
        <v>43889</v>
      </c>
      <c r="K8" s="18">
        <f t="shared" si="0"/>
        <v>44071</v>
      </c>
      <c r="L8" s="39">
        <f>_xll.qlYieldTSForwardRate('6.Piecewise_YieldCurve_ITL'!$B$2,'10.CurvaGovernativa'!J8,'10.CurvaGovernativa'!K8,'10.CurvaGovernativa'!$I$3,'10.CurvaGovernativa'!$I$7,'10.CurvaGovernativa'!$I$5)</f>
        <v>1.0448283889906059E-2</v>
      </c>
      <c r="M8" t="s">
        <v>282</v>
      </c>
    </row>
    <row r="9" spans="1:18" x14ac:dyDescent="0.25">
      <c r="A9" s="18">
        <f>+'9.Curve'!K10</f>
        <v>45047</v>
      </c>
      <c r="B9" s="42">
        <f>_xll.qlYieldTSZeroRate('6.Piecewise_YieldCurve_ITL'!$B$2,'10.CurvaGovernativa'!A9,'10.CurvaGovernativa'!$I$3,'10.CurvaGovernativa'!$I$4,'10.CurvaGovernativa'!$I$5)</f>
        <v>1.6099561185425354E-2</v>
      </c>
      <c r="C9" s="15" t="str">
        <f>_xll.ohRangeRetrieveError(B9)</f>
        <v/>
      </c>
      <c r="E9" s="15" t="str">
        <f>_xll.ohRangeRetrieveError(D9)</f>
        <v/>
      </c>
      <c r="F9" s="24">
        <f t="shared" si="1"/>
        <v>6.2583333333333337</v>
      </c>
      <c r="G9" s="24">
        <f t="shared" si="2"/>
        <v>0.90415323933326741</v>
      </c>
      <c r="J9" s="18">
        <f t="shared" si="3"/>
        <v>44071</v>
      </c>
      <c r="K9" s="18">
        <f t="shared" si="0"/>
        <v>44255</v>
      </c>
      <c r="L9" s="39">
        <f>_xll.qlYieldTSForwardRate('6.Piecewise_YieldCurve_ITL'!$B$2,'10.CurvaGovernativa'!J9,'10.CurvaGovernativa'!K9,'10.CurvaGovernativa'!$I$3,'10.CurvaGovernativa'!$I$7,'10.CurvaGovernativa'!$I$5)</f>
        <v>2.0838464752463433E-2</v>
      </c>
      <c r="M9" t="s">
        <v>283</v>
      </c>
    </row>
    <row r="10" spans="1:18" x14ac:dyDescent="0.25">
      <c r="A10" s="18">
        <f>+'9.Curve'!K11</f>
        <v>45139</v>
      </c>
      <c r="B10" s="42">
        <f>_xll.qlYieldTSZeroRate('6.Piecewise_YieldCurve_ITL'!$B$2,'10.CurvaGovernativa'!A10,'10.CurvaGovernativa'!$I$3,'10.CurvaGovernativa'!$I$4,'10.CurvaGovernativa'!$I$5)</f>
        <v>1.6227577210687013E-2</v>
      </c>
      <c r="C10" s="15" t="str">
        <f>_xll.ohRangeRetrieveError(B10)</f>
        <v/>
      </c>
      <c r="E10" s="15" t="str">
        <f>_xll.ohRangeRetrieveError(D10)</f>
        <v/>
      </c>
      <c r="F10" s="24">
        <f t="shared" si="1"/>
        <v>6.5138888888888893</v>
      </c>
      <c r="G10" s="24">
        <f t="shared" si="2"/>
        <v>0.89969034597639863</v>
      </c>
      <c r="J10" s="18">
        <f>+K9</f>
        <v>44255</v>
      </c>
      <c r="K10" s="18">
        <f t="shared" si="0"/>
        <v>44436</v>
      </c>
      <c r="L10" s="39">
        <f>_xll.qlYieldTSForwardRate('6.Piecewise_YieldCurve_ITL'!$B$2,'10.CurvaGovernativa'!J10,'10.CurvaGovernativa'!K10,'10.CurvaGovernativa'!$I$3,'10.CurvaGovernativa'!$I$7,'10.CurvaGovernativa'!$I$5)</f>
        <v>2.6797887458099662E-2</v>
      </c>
      <c r="M10" t="s">
        <v>226</v>
      </c>
    </row>
    <row r="11" spans="1:18" x14ac:dyDescent="0.25">
      <c r="A11" s="18">
        <f>+'9.Curve'!K12</f>
        <v>45352</v>
      </c>
      <c r="B11" s="42">
        <f>_xll.qlYieldTSZeroRate('6.Piecewise_YieldCurve_ITL'!$B$2,'10.CurvaGovernativa'!A11,'10.CurvaGovernativa'!$I$3,'10.CurvaGovernativa'!$I$4,'10.CurvaGovernativa'!$I$5)</f>
        <v>1.8812015700099327E-2</v>
      </c>
      <c r="C11" s="15" t="str">
        <f>_xll.ohRangeRetrieveError(B11)</f>
        <v/>
      </c>
      <c r="E11" s="15" t="str">
        <f>_xll.ohRangeRetrieveError(D11)</f>
        <v/>
      </c>
      <c r="F11" s="24">
        <f t="shared" si="1"/>
        <v>7.1055555555555552</v>
      </c>
      <c r="G11" s="24">
        <f t="shared" si="2"/>
        <v>0.87487888209442</v>
      </c>
      <c r="J11" s="18">
        <f t="shared" si="3"/>
        <v>44436</v>
      </c>
      <c r="K11" s="18">
        <f t="shared" si="0"/>
        <v>44620</v>
      </c>
      <c r="L11" s="39">
        <f>_xll.qlYieldTSForwardRate('6.Piecewise_YieldCurve_ITL'!$B$2,'10.CurvaGovernativa'!J11,'10.CurvaGovernativa'!K11,'10.CurvaGovernativa'!$I$3,'10.CurvaGovernativa'!$I$7,'10.CurvaGovernativa'!$I$5)</f>
        <v>2.7704141466854383E-2</v>
      </c>
    </row>
    <row r="12" spans="1:18" x14ac:dyDescent="0.25">
      <c r="A12" s="18">
        <f>+'9.Curve'!K13</f>
        <v>45536</v>
      </c>
      <c r="B12" s="42">
        <f>_xll.qlYieldTSZeroRate('6.Piecewise_YieldCurve_ITL'!$B$2,'10.CurvaGovernativa'!A12,'10.CurvaGovernativa'!$I$3,'10.CurvaGovernativa'!$I$4,'10.CurvaGovernativa'!$I$5)</f>
        <v>1.9738595859900739E-2</v>
      </c>
      <c r="C12" s="15" t="str">
        <f>_xll.ohRangeRetrieveError(B12)</f>
        <v/>
      </c>
      <c r="E12" s="15" t="str">
        <f>_xll.ohRangeRetrieveError(D12)</f>
        <v/>
      </c>
      <c r="F12" s="24">
        <f t="shared" si="1"/>
        <v>7.6166666666666663</v>
      </c>
      <c r="G12" s="24">
        <f t="shared" si="2"/>
        <v>0.86041340208682071</v>
      </c>
      <c r="J12" s="18">
        <f t="shared" si="3"/>
        <v>44620</v>
      </c>
      <c r="K12" s="18">
        <f t="shared" si="0"/>
        <v>44801</v>
      </c>
      <c r="L12" s="39">
        <f>_xll.qlYieldTSForwardRate('6.Piecewise_YieldCurve_ITL'!$B$2,'10.CurvaGovernativa'!J12,'10.CurvaGovernativa'!K12,'10.CurvaGovernativa'!$I$3,'10.CurvaGovernativa'!$I$7,'10.CurvaGovernativa'!$I$5)</f>
        <v>2.6479435648041599E-2</v>
      </c>
      <c r="M12" t="s">
        <v>114</v>
      </c>
    </row>
    <row r="13" spans="1:18" x14ac:dyDescent="0.25">
      <c r="A13" s="18">
        <f>+'9.Curve'!K14</f>
        <v>45717</v>
      </c>
      <c r="B13" s="42">
        <f>_xll.qlYieldTSZeroRate('6.Piecewise_YieldCurve_ITL'!$B$2,'10.CurvaGovernativa'!A13,'10.CurvaGovernativa'!$I$3,'10.CurvaGovernativa'!$I$4,'10.CurvaGovernativa'!$I$5)</f>
        <v>2.0830222683941631E-2</v>
      </c>
      <c r="C13" s="15" t="str">
        <f>_xll.ohRangeRetrieveError(B13)</f>
        <v/>
      </c>
      <c r="E13" s="15" t="str">
        <f>_xll.ohRangeRetrieveError(D13)</f>
        <v/>
      </c>
      <c r="F13" s="24">
        <f t="shared" si="1"/>
        <v>8.1194444444444436</v>
      </c>
      <c r="G13" s="24">
        <f t="shared" si="2"/>
        <v>0.84439926297447987</v>
      </c>
      <c r="J13" s="18">
        <f t="shared" si="3"/>
        <v>44801</v>
      </c>
      <c r="K13" s="18">
        <f t="shared" si="0"/>
        <v>44985</v>
      </c>
      <c r="L13" s="39">
        <f>_xll.qlYieldTSForwardRate('6.Piecewise_YieldCurve_ITL'!$B$2,'10.CurvaGovernativa'!J13,'10.CurvaGovernativa'!K13,'10.CurvaGovernativa'!$I$3,'10.CurvaGovernativa'!$I$7,'10.CurvaGovernativa'!$I$5)</f>
        <v>4.4724691746157008E-2</v>
      </c>
    </row>
    <row r="14" spans="1:18" x14ac:dyDescent="0.25">
      <c r="A14" s="18">
        <f>+'9.Curve'!K15</f>
        <v>45992</v>
      </c>
      <c r="B14" s="42">
        <f>_xll.qlYieldTSZeroRate('6.Piecewise_YieldCurve_ITL'!$B$2,'10.CurvaGovernativa'!A14,'10.CurvaGovernativa'!$I$3,'10.CurvaGovernativa'!$I$4,'10.CurvaGovernativa'!$I$5)</f>
        <v>2.1166833173872662E-2</v>
      </c>
      <c r="C14" s="15" t="str">
        <f>_xll.ohRangeRetrieveError(B14)</f>
        <v/>
      </c>
      <c r="E14" s="15" t="str">
        <f>_xll.ohRangeRetrieveError(D14)</f>
        <v/>
      </c>
      <c r="F14" s="24">
        <f t="shared" si="1"/>
        <v>8.8833333333333329</v>
      </c>
      <c r="G14" s="24">
        <f t="shared" si="2"/>
        <v>0.82858816323878581</v>
      </c>
      <c r="J14" s="18">
        <f t="shared" si="3"/>
        <v>44985</v>
      </c>
      <c r="K14" s="18">
        <f t="shared" si="0"/>
        <v>45166</v>
      </c>
      <c r="L14" s="39">
        <f>_xll.qlYieldTSForwardRate('6.Piecewise_YieldCurve_ITL'!$B$2,'10.CurvaGovernativa'!J14,'10.CurvaGovernativa'!K14,'10.CurvaGovernativa'!$I$3,'10.CurvaGovernativa'!$I$7,'10.CurvaGovernativa'!$I$5)</f>
        <v>3.3148433294177222E-2</v>
      </c>
      <c r="M14" t="s">
        <v>284</v>
      </c>
    </row>
    <row r="15" spans="1:18" x14ac:dyDescent="0.25">
      <c r="A15" s="18">
        <f>+'9.Curve'!K16</f>
        <v>46082</v>
      </c>
      <c r="B15" s="42">
        <f>_xll.qlYieldTSZeroRate('6.Piecewise_YieldCurve_ITL'!$B$2,'10.CurvaGovernativa'!A15,'10.CurvaGovernativa'!$I$3,'10.CurvaGovernativa'!$I$4,'10.CurvaGovernativa'!$I$5)</f>
        <v>2.2913203647556637E-2</v>
      </c>
      <c r="C15" s="15" t="str">
        <f>_xll.ohRangeRetrieveError(B15)</f>
        <v/>
      </c>
      <c r="E15" s="15" t="str">
        <f>_xll.ohRangeRetrieveError(D15)</f>
        <v/>
      </c>
      <c r="F15" s="24">
        <f t="shared" si="1"/>
        <v>9.1333333333333329</v>
      </c>
      <c r="G15" s="24">
        <f t="shared" si="2"/>
        <v>0.81117300330563413</v>
      </c>
      <c r="J15" s="18">
        <f t="shared" si="3"/>
        <v>45166</v>
      </c>
      <c r="K15" s="18">
        <f t="shared" si="0"/>
        <v>45350</v>
      </c>
      <c r="L15" s="39">
        <f>_xll.qlYieldTSForwardRate('6.Piecewise_YieldCurve_ITL'!$B$2,'10.CurvaGovernativa'!J15,'10.CurvaGovernativa'!K15,'10.CurvaGovernativa'!$I$3,'10.CurvaGovernativa'!$I$7,'10.CurvaGovernativa'!$I$5)</f>
        <v>4.7919959593083122E-2</v>
      </c>
    </row>
    <row r="16" spans="1:18" x14ac:dyDescent="0.25">
      <c r="A16" s="18">
        <f>+'9.Curve'!K17</f>
        <v>46357</v>
      </c>
      <c r="B16" s="42">
        <f>_xll.qlYieldTSZeroRate('6.Piecewise_YieldCurve_ITL'!$B$2,'10.CurvaGovernativa'!A16,'10.CurvaGovernativa'!$I$3,'10.CurvaGovernativa'!$I$4,'10.CurvaGovernativa'!$I$5)</f>
        <v>2.1891922011841047E-2</v>
      </c>
      <c r="C16" s="15" t="str">
        <f>_xll.ohRangeRetrieveError(B16)</f>
        <v/>
      </c>
      <c r="E16" s="15" t="str">
        <f>_xll.ohRangeRetrieveError(D16)</f>
        <v/>
      </c>
      <c r="F16" s="24">
        <f t="shared" si="1"/>
        <v>9.8972222222222221</v>
      </c>
      <c r="G16" s="24">
        <f t="shared" si="2"/>
        <v>0.80519627047824605</v>
      </c>
      <c r="J16" s="18">
        <f t="shared" si="3"/>
        <v>45350</v>
      </c>
      <c r="K16" s="18">
        <f t="shared" si="0"/>
        <v>45532</v>
      </c>
      <c r="L16" s="39">
        <f>_xll.qlYieldTSForwardRate('6.Piecewise_YieldCurve_ITL'!$B$2,'10.CurvaGovernativa'!J16,'10.CurvaGovernativa'!K16,'10.CurvaGovernativa'!$I$3,'10.CurvaGovernativa'!$I$7,'10.CurvaGovernativa'!$I$5)</f>
        <v>3.308071462083248E-2</v>
      </c>
      <c r="M16" t="s">
        <v>116</v>
      </c>
    </row>
    <row r="17" spans="1:14" x14ac:dyDescent="0.25">
      <c r="A17" s="18">
        <f>+'9.Curve'!K18</f>
        <v>46997</v>
      </c>
      <c r="B17" s="42">
        <f>_xll.qlYieldTSZeroRate('6.Piecewise_YieldCurve_ITL'!$B$2,'10.CurvaGovernativa'!A17,'10.CurvaGovernativa'!$I$3,'10.CurvaGovernativa'!$I$4,'10.CurvaGovernativa'!$I$5)</f>
        <v>2.6829851919542617E-2</v>
      </c>
      <c r="C17" s="15" t="str">
        <f>_xll.ohRangeRetrieveError(B17)</f>
        <v/>
      </c>
      <c r="E17" s="15" t="str">
        <f>_xll.ohRangeRetrieveError(D17)</f>
        <v/>
      </c>
      <c r="F17" s="24">
        <f t="shared" si="1"/>
        <v>11.675000000000001</v>
      </c>
      <c r="G17" s="24">
        <f t="shared" si="2"/>
        <v>0.7310755147906105</v>
      </c>
      <c r="J17" s="18">
        <f t="shared" si="3"/>
        <v>45532</v>
      </c>
      <c r="K17" s="18">
        <f t="shared" si="0"/>
        <v>45716</v>
      </c>
      <c r="L17" s="39">
        <f>_xll.qlYieldTSForwardRate('6.Piecewise_YieldCurve_ITL'!$B$2,'10.CurvaGovernativa'!J17,'10.CurvaGovernativa'!K17,'10.CurvaGovernativa'!$I$3,'10.CurvaGovernativa'!$I$7,'10.CurvaGovernativa'!$I$5)</f>
        <v>3.7640837639717102E-2</v>
      </c>
    </row>
    <row r="18" spans="1:14" x14ac:dyDescent="0.25">
      <c r="A18" s="18">
        <f>+'9.Curve'!K19</f>
        <v>47543</v>
      </c>
      <c r="B18" s="42">
        <f>_xll.qlYieldTSZeroRate('6.Piecewise_YieldCurve_ITL'!$B$2,'10.CurvaGovernativa'!A18,'10.CurvaGovernativa'!$I$3,'10.CurvaGovernativa'!$I$4,'10.CurvaGovernativa'!$I$5)</f>
        <v>2.6833058127791191E-2</v>
      </c>
      <c r="C18" s="15" t="str">
        <f>_xll.ohRangeRetrieveError(B18)</f>
        <v/>
      </c>
      <c r="E18" s="15" t="str">
        <f>_xll.ohRangeRetrieveError(D18)</f>
        <v/>
      </c>
      <c r="F18" s="24">
        <f t="shared" si="1"/>
        <v>13.191666666666666</v>
      </c>
      <c r="G18" s="24">
        <f t="shared" si="2"/>
        <v>0.70189408776443007</v>
      </c>
      <c r="J18" s="18">
        <f t="shared" si="3"/>
        <v>45716</v>
      </c>
      <c r="K18" s="18">
        <f t="shared" si="0"/>
        <v>45897</v>
      </c>
      <c r="L18" s="39">
        <f>_xll.qlYieldTSForwardRate('6.Piecewise_YieldCurve_ITL'!$B$2,'10.CurvaGovernativa'!J18,'10.CurvaGovernativa'!K18,'10.CurvaGovernativa'!$I$3,'10.CurvaGovernativa'!$I$7,'10.CurvaGovernativa'!$I$5)</f>
        <v>2.4886963902132592E-2</v>
      </c>
      <c r="M18" t="s">
        <v>285</v>
      </c>
    </row>
    <row r="19" spans="1:14" x14ac:dyDescent="0.25">
      <c r="A19" s="18">
        <f>+'9.Curve'!K20</f>
        <v>48274</v>
      </c>
      <c r="B19" s="42">
        <f>_xll.qlYieldTSZeroRate('6.Piecewise_YieldCurve_ITL'!$B$2,'10.CurvaGovernativa'!A19,'10.CurvaGovernativa'!$I$3,'10.CurvaGovernativa'!$I$4,'10.CurvaGovernativa'!$I$5)</f>
        <v>2.5370052311497908E-2</v>
      </c>
      <c r="C19" s="15" t="str">
        <f>_xll.ohRangeRetrieveError(B19)</f>
        <v/>
      </c>
      <c r="E19" s="15" t="str">
        <f>_xll.ohRangeRetrieveError(D19)</f>
        <v/>
      </c>
      <c r="F19" s="24">
        <f t="shared" si="1"/>
        <v>15.222222222222221</v>
      </c>
      <c r="G19" s="24">
        <f t="shared" si="2"/>
        <v>0.67964235066783452</v>
      </c>
      <c r="J19" s="18">
        <f t="shared" si="3"/>
        <v>45897</v>
      </c>
      <c r="K19" s="18">
        <f t="shared" si="0"/>
        <v>46081</v>
      </c>
      <c r="L19" s="39">
        <f>_xll.qlYieldTSForwardRate('6.Piecewise_YieldCurve_ITL'!$B$2,'10.CurvaGovernativa'!J19,'10.CurvaGovernativa'!K19,'10.CurvaGovernativa'!$I$3,'10.CurvaGovernativa'!$I$7,'10.CurvaGovernativa'!$I$5)</f>
        <v>5.4667181018132803E-2</v>
      </c>
    </row>
    <row r="20" spans="1:14" x14ac:dyDescent="0.25">
      <c r="A20" s="18">
        <f>+'9.Curve'!K21</f>
        <v>49157</v>
      </c>
      <c r="B20" s="42">
        <f>_xll.qlYieldTSZeroRate('6.Piecewise_YieldCurve_ITL'!$B$2,'10.CurvaGovernativa'!A20,'10.CurvaGovernativa'!$I$3,'10.CurvaGovernativa'!$I$4,'10.CurvaGovernativa'!$I$5)</f>
        <v>3.1039219394172816E-2</v>
      </c>
      <c r="C20" s="15" t="str">
        <f>_xll.ohRangeRetrieveError(B20)</f>
        <v/>
      </c>
      <c r="E20" s="15" t="str">
        <f>_xll.ohRangeRetrieveError(D20)</f>
        <v/>
      </c>
      <c r="F20" s="24">
        <f t="shared" si="1"/>
        <v>17.675000000000001</v>
      </c>
      <c r="G20" s="24">
        <f t="shared" si="2"/>
        <v>0.57774758907487278</v>
      </c>
      <c r="J20" s="18">
        <f t="shared" si="3"/>
        <v>46081</v>
      </c>
      <c r="K20" s="18">
        <f t="shared" si="0"/>
        <v>46262</v>
      </c>
      <c r="L20" s="39">
        <f>_xll.qlYieldTSForwardRate('6.Piecewise_YieldCurve_ITL'!$B$2,'10.CurvaGovernativa'!J20,'10.CurvaGovernativa'!K20,'10.CurvaGovernativa'!$I$3,'10.CurvaGovernativa'!$I$7,'10.CurvaGovernativa'!$I$5)</f>
        <v>1.0122281159722045E-2</v>
      </c>
      <c r="M20" t="s">
        <v>118</v>
      </c>
    </row>
    <row r="21" spans="1:14" ht="30" x14ac:dyDescent="0.25">
      <c r="A21" s="18">
        <f>+'9.Curve'!K22</f>
        <v>49919</v>
      </c>
      <c r="B21" s="42">
        <f>_xll.qlYieldTSZeroRate('6.Piecewise_YieldCurve_ITL'!$B$2,'10.CurvaGovernativa'!A21,'10.CurvaGovernativa'!$I$3,'10.CurvaGovernativa'!$I$4,'10.CurvaGovernativa'!$I$5)</f>
        <v>2.8658253568837961E-2</v>
      </c>
      <c r="C21" s="15" t="str">
        <f>_xll.ohRangeRetrieveError(B21)</f>
        <v/>
      </c>
      <c r="E21" s="15" t="str">
        <f>_xll.ohRangeRetrieveError(D21)</f>
        <v/>
      </c>
      <c r="F21" s="24">
        <f t="shared" si="1"/>
        <v>19.791666666666668</v>
      </c>
      <c r="G21" s="24">
        <f t="shared" si="2"/>
        <v>0.56711419019847953</v>
      </c>
      <c r="J21" s="18">
        <f t="shared" si="3"/>
        <v>46262</v>
      </c>
      <c r="K21" s="18">
        <f t="shared" si="0"/>
        <v>46446</v>
      </c>
      <c r="L21" s="39">
        <f>_xll.qlYieldTSForwardRate('6.Piecewise_YieldCurve_ITL'!$B$2,'10.CurvaGovernativa'!J21,'10.CurvaGovernativa'!K21,'10.CurvaGovernativa'!$I$3,'10.CurvaGovernativa'!$I$7,'10.CurvaGovernativa'!$I$5)</f>
        <v>3.0474680757178598E-2</v>
      </c>
      <c r="M21" s="14" t="s">
        <v>119</v>
      </c>
      <c r="N21" s="14" t="s">
        <v>286</v>
      </c>
    </row>
    <row r="22" spans="1:14" x14ac:dyDescent="0.25">
      <c r="A22" s="18">
        <f>+'9.Curve'!K23</f>
        <v>51380</v>
      </c>
      <c r="B22" s="42">
        <f>_xll.qlYieldTSZeroRate('6.Piecewise_YieldCurve_ITL'!$B$2,'10.CurvaGovernativa'!A22,'10.CurvaGovernativa'!$I$3,'10.CurvaGovernativa'!$I$4,'10.CurvaGovernativa'!$I$5)</f>
        <v>3.6805289590730844E-2</v>
      </c>
      <c r="C22" s="15" t="str">
        <f>_xll.ohRangeRetrieveError(B22)</f>
        <v/>
      </c>
      <c r="E22" s="15" t="str">
        <f>_xll.ohRangeRetrieveError(D22)</f>
        <v/>
      </c>
      <c r="F22" s="24">
        <f t="shared" si="1"/>
        <v>23.85</v>
      </c>
      <c r="G22" s="24">
        <f t="shared" si="2"/>
        <v>0.41569387927186524</v>
      </c>
      <c r="J22" s="18">
        <f t="shared" si="3"/>
        <v>46446</v>
      </c>
      <c r="K22" s="18">
        <f t="shared" si="0"/>
        <v>46627</v>
      </c>
      <c r="L22" s="39">
        <f>_xll.qlYieldTSForwardRate('6.Piecewise_YieldCurve_ITL'!$B$2,'10.CurvaGovernativa'!J22,'10.CurvaGovernativa'!K22,'10.CurvaGovernativa'!$I$3,'10.CurvaGovernativa'!$I$7,'10.CurvaGovernativa'!$I$5)</f>
        <v>5.389432181544572E-2</v>
      </c>
      <c r="M22" s="14" t="s">
        <v>275</v>
      </c>
      <c r="N22" s="14" t="s">
        <v>287</v>
      </c>
    </row>
    <row r="23" spans="1:14" x14ac:dyDescent="0.25">
      <c r="A23" s="18">
        <f>+'9.Curve'!K24</f>
        <v>52841</v>
      </c>
      <c r="B23" s="42">
        <f>_xll.qlYieldTSZeroRate('6.Piecewise_YieldCurve_ITL'!$B$2,'10.CurvaGovernativa'!A23,'10.CurvaGovernativa'!$I$3,'10.CurvaGovernativa'!$I$4,'10.CurvaGovernativa'!$I$5)</f>
        <v>3.7251260450441581E-2</v>
      </c>
      <c r="C23" s="15" t="str">
        <f>_xll.ohRangeRetrieveError(B23)</f>
        <v/>
      </c>
      <c r="E23" s="15" t="str">
        <f>_xll.ohRangeRetrieveError(D23)</f>
        <v/>
      </c>
      <c r="F23" s="24">
        <f t="shared" si="1"/>
        <v>27.908333333333335</v>
      </c>
      <c r="G23" s="24">
        <f t="shared" si="2"/>
        <v>0.35358881032150163</v>
      </c>
      <c r="J23" s="18">
        <f t="shared" si="3"/>
        <v>46627</v>
      </c>
      <c r="K23" s="18">
        <f t="shared" si="0"/>
        <v>46811</v>
      </c>
      <c r="L23" s="39">
        <f>_xll.qlYieldTSForwardRate('6.Piecewise_YieldCurve_ITL'!$B$2,'10.CurvaGovernativa'!J23,'10.CurvaGovernativa'!K23,'10.CurvaGovernativa'!$I$3,'10.CurvaGovernativa'!$I$7,'10.CurvaGovernativa'!$I$5)</f>
        <v>5.5398117306368691E-2</v>
      </c>
      <c r="M23" s="14" t="s">
        <v>288</v>
      </c>
      <c r="N23" s="14" t="s">
        <v>289</v>
      </c>
    </row>
    <row r="24" spans="1:14" ht="60" x14ac:dyDescent="0.25">
      <c r="A24" s="18">
        <f>+'9.Curve'!K25</f>
        <v>53571</v>
      </c>
      <c r="B24" s="42">
        <f>_xll.qlYieldTSZeroRate('6.Piecewise_YieldCurve_ITL'!$B$2,'10.CurvaGovernativa'!A24,'10.CurvaGovernativa'!$I$3,'10.CurvaGovernativa'!$I$4,'10.CurvaGovernativa'!$I$5)</f>
        <v>3.4286082247786766E-2</v>
      </c>
      <c r="C24" s="15" t="str">
        <f>_xll.ohRangeRetrieveError(B24)</f>
        <v/>
      </c>
      <c r="E24" s="15" t="str">
        <f>_xll.ohRangeRetrieveError(D24)</f>
        <v/>
      </c>
      <c r="F24" s="24">
        <f t="shared" si="1"/>
        <v>29.93611111111111</v>
      </c>
      <c r="G24" s="24">
        <f t="shared" si="2"/>
        <v>0.35829737973903297</v>
      </c>
      <c r="J24" s="18">
        <f t="shared" si="3"/>
        <v>46811</v>
      </c>
      <c r="K24" s="18">
        <f t="shared" si="0"/>
        <v>46993</v>
      </c>
      <c r="L24" s="39">
        <f>_xll.qlYieldTSForwardRate('6.Piecewise_YieldCurve_ITL'!$B$2,'10.CurvaGovernativa'!J24,'10.CurvaGovernativa'!K24,'10.CurvaGovernativa'!$I$3,'10.CurvaGovernativa'!$I$7,'10.CurvaGovernativa'!$I$5)</f>
        <v>5.6967439096015288E-2</v>
      </c>
      <c r="M24" s="14" t="s">
        <v>290</v>
      </c>
      <c r="N24" s="14" t="s">
        <v>291</v>
      </c>
    </row>
    <row r="25" spans="1:14" ht="45" x14ac:dyDescent="0.25">
      <c r="A25" s="18">
        <f>+'9.Curve'!K26</f>
        <v>53752</v>
      </c>
      <c r="B25" s="42">
        <f>_xll.qlYieldTSZeroRate('6.Piecewise_YieldCurve_ITL'!$B$2,'10.CurvaGovernativa'!A25,'10.CurvaGovernativa'!$I$3,'10.CurvaGovernativa'!$I$4,'10.CurvaGovernativa'!$I$5)</f>
        <v>3.39312452717326E-2</v>
      </c>
      <c r="C25" s="15" t="str">
        <f>_xll.ohRangeRetrieveError(B25)</f>
        <v/>
      </c>
      <c r="E25" s="15" t="str">
        <f>_xll.ohRangeRetrieveError(D25)</f>
        <v/>
      </c>
      <c r="F25" s="24">
        <f t="shared" si="1"/>
        <v>30.43888888888889</v>
      </c>
      <c r="G25" s="24">
        <f t="shared" si="2"/>
        <v>0.35599827106962201</v>
      </c>
      <c r="J25" s="18">
        <f t="shared" si="3"/>
        <v>46993</v>
      </c>
      <c r="K25" s="18">
        <f t="shared" si="0"/>
        <v>47177</v>
      </c>
      <c r="L25" s="39">
        <f>_xll.qlYieldTSForwardRate('6.Piecewise_YieldCurve_ITL'!$B$2,'10.CurvaGovernativa'!J25,'10.CurvaGovernativa'!K25,'10.CurvaGovernativa'!$I$3,'10.CurvaGovernativa'!$I$7,'10.CurvaGovernativa'!$I$5)</f>
        <v>2.7346379770340292E-2</v>
      </c>
      <c r="M25" s="14" t="s">
        <v>292</v>
      </c>
      <c r="N25" s="14" t="s">
        <v>293</v>
      </c>
    </row>
    <row r="26" spans="1:14" ht="30" x14ac:dyDescent="0.25">
      <c r="A26" s="18"/>
      <c r="B26" s="42"/>
      <c r="C26" s="15" t="str">
        <f>_xll.ohRangeRetrieveError(B26)</f>
        <v/>
      </c>
      <c r="E26" s="15" t="str">
        <f>_xll.ohRangeRetrieveError(D26)</f>
        <v/>
      </c>
      <c r="F26" s="24">
        <f t="shared" si="1"/>
        <v>118.87222222222222</v>
      </c>
      <c r="G26" s="24">
        <f t="shared" si="2"/>
        <v>1</v>
      </c>
      <c r="J26" s="18"/>
      <c r="K26" s="18"/>
      <c r="L26" s="39"/>
      <c r="M26" s="14" t="s">
        <v>294</v>
      </c>
      <c r="N26" s="14" t="s">
        <v>295</v>
      </c>
    </row>
    <row r="27" spans="1:14" x14ac:dyDescent="0.25">
      <c r="A27" s="18"/>
      <c r="B27" s="42"/>
      <c r="C27" s="15" t="str">
        <f>_xll.ohRangeRetrieveError(B27)</f>
        <v/>
      </c>
      <c r="E27" s="15" t="str">
        <f>_xll.ohRangeRetrieveError(D27)</f>
        <v/>
      </c>
      <c r="F27" s="24">
        <f t="shared" si="1"/>
        <v>118.87222222222222</v>
      </c>
      <c r="G27" s="24">
        <f t="shared" si="2"/>
        <v>1</v>
      </c>
      <c r="J27" s="18"/>
      <c r="K27" s="18"/>
      <c r="L27" s="39"/>
      <c r="M27" s="14" t="s">
        <v>125</v>
      </c>
      <c r="N27" s="14" t="s">
        <v>126</v>
      </c>
    </row>
    <row r="28" spans="1:14" x14ac:dyDescent="0.25">
      <c r="A28" s="18"/>
      <c r="B28" s="42"/>
      <c r="C28" s="15" t="str">
        <f>_xll.ohRangeRetrieveError(B28)</f>
        <v/>
      </c>
      <c r="E28" s="15" t="str">
        <f>_xll.ohRangeRetrieveError(D28)</f>
        <v/>
      </c>
      <c r="F28" s="24">
        <f t="shared" si="1"/>
        <v>118.87222222222222</v>
      </c>
      <c r="G28" s="24">
        <f t="shared" si="2"/>
        <v>1</v>
      </c>
      <c r="J28" s="18"/>
      <c r="K28" s="18"/>
      <c r="L28" s="39"/>
    </row>
    <row r="29" spans="1:14" x14ac:dyDescent="0.25">
      <c r="A29" s="18"/>
      <c r="B29" s="42"/>
      <c r="C29" s="15" t="str">
        <f>_xll.ohRangeRetrieveError(B29)</f>
        <v/>
      </c>
      <c r="E29" s="15" t="str">
        <f>_xll.ohRangeRetrieveError(D29)</f>
        <v/>
      </c>
      <c r="F29" s="24">
        <f t="shared" si="1"/>
        <v>118.87222222222222</v>
      </c>
      <c r="G29" s="24">
        <f t="shared" si="2"/>
        <v>1</v>
      </c>
      <c r="J29" s="18"/>
      <c r="K29" s="18"/>
      <c r="L29" s="39"/>
    </row>
    <row r="30" spans="1:14" x14ac:dyDescent="0.25">
      <c r="A30" s="18"/>
      <c r="B30" s="42"/>
      <c r="C30" s="15" t="str">
        <f>_xll.ohRangeRetrieveError(B30)</f>
        <v/>
      </c>
      <c r="E30" s="15" t="str">
        <f>_xll.ohRangeRetrieveError(D30)</f>
        <v/>
      </c>
      <c r="F30" s="24">
        <f t="shared" si="1"/>
        <v>118.87222222222222</v>
      </c>
      <c r="G30" s="24">
        <f t="shared" si="2"/>
        <v>1</v>
      </c>
      <c r="J30" s="18"/>
      <c r="K30" s="18"/>
      <c r="L30" s="39"/>
    </row>
    <row r="31" spans="1:14" x14ac:dyDescent="0.25">
      <c r="A31" s="18"/>
      <c r="B31" s="42"/>
      <c r="C31" s="15" t="str">
        <f>_xll.ohRangeRetrieveError(B31)</f>
        <v/>
      </c>
      <c r="E31" s="15" t="str">
        <f>_xll.ohRangeRetrieveError(D31)</f>
        <v/>
      </c>
      <c r="F31" s="24">
        <f t="shared" si="1"/>
        <v>118.87222222222222</v>
      </c>
      <c r="G31" s="24">
        <f t="shared" si="2"/>
        <v>1</v>
      </c>
      <c r="J31" s="18"/>
      <c r="K31" s="18"/>
      <c r="L31" s="39"/>
    </row>
    <row r="32" spans="1:14" x14ac:dyDescent="0.25">
      <c r="A32" s="18"/>
      <c r="B32" s="42"/>
      <c r="C32" s="15" t="str">
        <f>_xll.ohRangeRetrieveError(B32)</f>
        <v/>
      </c>
      <c r="E32" s="15" t="str">
        <f>_xll.ohRangeRetrieveError(D32)</f>
        <v/>
      </c>
      <c r="F32" s="24">
        <f t="shared" si="1"/>
        <v>118.87222222222222</v>
      </c>
      <c r="G32" s="24">
        <f t="shared" si="2"/>
        <v>1</v>
      </c>
      <c r="J32" s="18"/>
      <c r="K32" s="18"/>
      <c r="L32" s="39"/>
      <c r="M32" s="13" t="s">
        <v>309</v>
      </c>
    </row>
    <row r="33" spans="1:13" x14ac:dyDescent="0.25">
      <c r="A33" s="18"/>
      <c r="B33" s="42"/>
      <c r="C33" s="15" t="str">
        <f>_xll.ohRangeRetrieveError(B33)</f>
        <v/>
      </c>
      <c r="E33" s="15" t="str">
        <f>_xll.ohRangeRetrieveError(D33)</f>
        <v/>
      </c>
      <c r="F33" s="24">
        <f t="shared" si="1"/>
        <v>118.87222222222222</v>
      </c>
      <c r="G33" s="24">
        <f t="shared" si="2"/>
        <v>1</v>
      </c>
      <c r="J33" s="18"/>
      <c r="K33" s="18"/>
      <c r="L33" s="39"/>
    </row>
    <row r="34" spans="1:13" x14ac:dyDescent="0.25">
      <c r="A34" s="18"/>
      <c r="B34" s="42"/>
      <c r="C34" s="15" t="str">
        <f>_xll.ohRangeRetrieveError(B34)</f>
        <v/>
      </c>
      <c r="E34" s="15" t="str">
        <f>_xll.ohRangeRetrieveError(D34)</f>
        <v/>
      </c>
      <c r="F34" s="24">
        <f t="shared" si="1"/>
        <v>118.87222222222222</v>
      </c>
      <c r="G34" s="24">
        <f t="shared" si="2"/>
        <v>1</v>
      </c>
      <c r="J34" s="18"/>
      <c r="K34" s="18"/>
      <c r="L34" s="39"/>
      <c r="M34" t="s">
        <v>310</v>
      </c>
    </row>
    <row r="35" spans="1:13" x14ac:dyDescent="0.25">
      <c r="A35" s="18"/>
      <c r="B35" s="42"/>
      <c r="C35" s="15" t="str">
        <f>_xll.ohRangeRetrieveError(B35)</f>
        <v/>
      </c>
      <c r="E35" s="15" t="str">
        <f>_xll.ohRangeRetrieveError(D35)</f>
        <v/>
      </c>
      <c r="F35" s="24">
        <f t="shared" si="1"/>
        <v>118.87222222222222</v>
      </c>
      <c r="G35" s="24">
        <f t="shared" si="2"/>
        <v>1</v>
      </c>
      <c r="J35" s="18"/>
      <c r="K35" s="18"/>
      <c r="L35" s="39"/>
      <c r="M35" t="s">
        <v>311</v>
      </c>
    </row>
    <row r="36" spans="1:13" x14ac:dyDescent="0.25">
      <c r="A36" s="18"/>
      <c r="B36" s="42"/>
      <c r="C36" s="15" t="str">
        <f>_xll.ohRangeRetrieveError(B36)</f>
        <v/>
      </c>
      <c r="E36" s="15" t="str">
        <f>_xll.ohRangeRetrieveError(D36)</f>
        <v/>
      </c>
      <c r="F36" s="24">
        <f t="shared" si="1"/>
        <v>118.87222222222222</v>
      </c>
      <c r="G36" s="24">
        <f t="shared" si="2"/>
        <v>1</v>
      </c>
      <c r="J36" s="18"/>
      <c r="K36" s="18"/>
      <c r="L36" s="39"/>
      <c r="M36" t="s">
        <v>109</v>
      </c>
    </row>
    <row r="37" spans="1:13" x14ac:dyDescent="0.25">
      <c r="A37" s="18"/>
      <c r="B37" s="42"/>
      <c r="C37" s="15" t="str">
        <f>_xll.ohRangeRetrieveError(B37)</f>
        <v/>
      </c>
      <c r="E37" s="15" t="str">
        <f>_xll.ohRangeRetrieveError(D37)</f>
        <v/>
      </c>
      <c r="F37" s="24">
        <f t="shared" si="1"/>
        <v>118.87222222222222</v>
      </c>
      <c r="G37" s="24">
        <f t="shared" si="2"/>
        <v>1</v>
      </c>
      <c r="J37" s="18"/>
      <c r="K37" s="18"/>
      <c r="L37" s="39"/>
      <c r="M37" t="s">
        <v>312</v>
      </c>
    </row>
    <row r="38" spans="1:13" x14ac:dyDescent="0.25">
      <c r="A38" s="18"/>
      <c r="B38" s="42"/>
      <c r="C38" s="15" t="str">
        <f>_xll.ohRangeRetrieveError(B38)</f>
        <v/>
      </c>
      <c r="E38" s="15" t="str">
        <f>_xll.ohRangeRetrieveError(D38)</f>
        <v/>
      </c>
      <c r="F38" s="24">
        <f t="shared" si="1"/>
        <v>118.87222222222222</v>
      </c>
      <c r="G38" s="24">
        <f t="shared" si="2"/>
        <v>1</v>
      </c>
      <c r="J38" s="18"/>
      <c r="K38" s="18"/>
      <c r="L38" s="39"/>
      <c r="M38" t="s">
        <v>283</v>
      </c>
    </row>
    <row r="39" spans="1:13" x14ac:dyDescent="0.25">
      <c r="A39" s="18"/>
      <c r="B39" s="42"/>
      <c r="C39" s="15" t="str">
        <f>_xll.ohRangeRetrieveError(B39)</f>
        <v/>
      </c>
      <c r="E39" s="15" t="str">
        <f>_xll.ohRangeRetrieveError(D39)</f>
        <v/>
      </c>
      <c r="F39" s="24">
        <f t="shared" si="1"/>
        <v>118.87222222222222</v>
      </c>
      <c r="G39" s="24">
        <f t="shared" si="2"/>
        <v>1</v>
      </c>
      <c r="J39" s="18"/>
      <c r="K39" s="18"/>
      <c r="L39" s="39"/>
      <c r="M39" t="s">
        <v>226</v>
      </c>
    </row>
    <row r="40" spans="1:13" x14ac:dyDescent="0.25">
      <c r="A40" s="18"/>
      <c r="B40" s="42"/>
      <c r="C40" s="15" t="str">
        <f>_xll.ohRangeRetrieveError(B40)</f>
        <v/>
      </c>
      <c r="E40" s="15" t="str">
        <f>_xll.ohRangeRetrieveError(D40)</f>
        <v/>
      </c>
      <c r="F40" s="24">
        <f t="shared" si="1"/>
        <v>118.87222222222222</v>
      </c>
      <c r="G40" s="24">
        <f t="shared" si="2"/>
        <v>1</v>
      </c>
      <c r="J40" s="18"/>
      <c r="K40" s="18"/>
      <c r="L40" s="39"/>
    </row>
    <row r="41" spans="1:13" x14ac:dyDescent="0.25">
      <c r="A41" s="18"/>
      <c r="B41" s="42"/>
      <c r="C41" s="15" t="str">
        <f>_xll.ohRangeRetrieveError(B41)</f>
        <v/>
      </c>
      <c r="E41" s="15" t="str">
        <f>_xll.ohRangeRetrieveError(D41)</f>
        <v/>
      </c>
      <c r="F41" s="24">
        <f t="shared" si="1"/>
        <v>118.87222222222222</v>
      </c>
      <c r="G41" s="24">
        <f t="shared" si="2"/>
        <v>1</v>
      </c>
      <c r="J41" s="18"/>
      <c r="K41" s="18"/>
      <c r="L41" s="39"/>
      <c r="M41" t="s">
        <v>114</v>
      </c>
    </row>
    <row r="42" spans="1:13" x14ac:dyDescent="0.25">
      <c r="A42" s="18"/>
      <c r="B42" s="42"/>
      <c r="C42" s="15" t="str">
        <f>_xll.ohRangeRetrieveError(B42)</f>
        <v/>
      </c>
      <c r="E42" s="15" t="str">
        <f>_xll.ohRangeRetrieveError(D42)</f>
        <v/>
      </c>
      <c r="F42" s="24">
        <f t="shared" si="1"/>
        <v>118.87222222222222</v>
      </c>
      <c r="G42" s="24">
        <f t="shared" si="2"/>
        <v>1</v>
      </c>
      <c r="J42" s="18"/>
      <c r="K42" s="18"/>
      <c r="L42" s="39"/>
    </row>
    <row r="43" spans="1:13" x14ac:dyDescent="0.25">
      <c r="A43" s="18"/>
      <c r="B43" s="42"/>
      <c r="C43" s="15" t="str">
        <f>_xll.ohRangeRetrieveError(B43)</f>
        <v/>
      </c>
      <c r="E43" s="15" t="str">
        <f>_xll.ohRangeRetrieveError(D43)</f>
        <v/>
      </c>
      <c r="F43" s="24">
        <f t="shared" si="1"/>
        <v>118.87222222222222</v>
      </c>
      <c r="G43" s="24">
        <f t="shared" si="2"/>
        <v>1</v>
      </c>
      <c r="J43" s="18"/>
      <c r="K43" s="18"/>
      <c r="L43" s="39"/>
      <c r="M43" t="s">
        <v>313</v>
      </c>
    </row>
    <row r="44" spans="1:13" x14ac:dyDescent="0.25">
      <c r="A44" s="18"/>
      <c r="B44" s="42"/>
      <c r="C44" s="15" t="str">
        <f>_xll.ohRangeRetrieveError(B44)</f>
        <v/>
      </c>
      <c r="E44" s="15" t="str">
        <f>_xll.ohRangeRetrieveError(D44)</f>
        <v/>
      </c>
      <c r="F44" s="24">
        <f t="shared" si="1"/>
        <v>118.87222222222222</v>
      </c>
      <c r="G44" s="24">
        <f t="shared" si="2"/>
        <v>1</v>
      </c>
      <c r="J44" s="18"/>
      <c r="K44" s="18"/>
      <c r="L44" s="39"/>
    </row>
    <row r="45" spans="1:13" x14ac:dyDescent="0.25">
      <c r="A45" s="18"/>
      <c r="B45" s="42"/>
      <c r="C45" s="15" t="str">
        <f>_xll.ohRangeRetrieveError(B45)</f>
        <v/>
      </c>
      <c r="E45" s="15" t="str">
        <f>_xll.ohRangeRetrieveError(D45)</f>
        <v/>
      </c>
      <c r="F45" s="24">
        <f t="shared" si="1"/>
        <v>118.87222222222222</v>
      </c>
      <c r="G45" s="24">
        <f t="shared" si="2"/>
        <v>1</v>
      </c>
      <c r="J45" s="18"/>
      <c r="K45" s="18"/>
      <c r="L45" s="39"/>
      <c r="M45" t="s">
        <v>116</v>
      </c>
    </row>
    <row r="46" spans="1:13" x14ac:dyDescent="0.25">
      <c r="A46" s="18"/>
      <c r="B46" s="42"/>
      <c r="C46" s="15" t="str">
        <f>_xll.ohRangeRetrieveError(B46)</f>
        <v/>
      </c>
      <c r="E46" s="15" t="str">
        <f>_xll.ohRangeRetrieveError(D46)</f>
        <v/>
      </c>
      <c r="F46" s="24">
        <f t="shared" si="1"/>
        <v>118.87222222222222</v>
      </c>
      <c r="G46" s="24">
        <f t="shared" si="2"/>
        <v>1</v>
      </c>
      <c r="J46" s="18"/>
      <c r="K46" s="18"/>
      <c r="L46" s="39"/>
    </row>
    <row r="47" spans="1:13" x14ac:dyDescent="0.25">
      <c r="A47" s="18"/>
      <c r="B47" s="42"/>
      <c r="C47" s="15" t="str">
        <f>_xll.ohRangeRetrieveError(B47)</f>
        <v/>
      </c>
      <c r="E47" s="15" t="str">
        <f>_xll.ohRangeRetrieveError(D47)</f>
        <v/>
      </c>
      <c r="F47" s="24">
        <f t="shared" si="1"/>
        <v>118.87222222222222</v>
      </c>
      <c r="G47" s="24">
        <f t="shared" si="2"/>
        <v>1</v>
      </c>
      <c r="J47" s="18"/>
      <c r="K47" s="18"/>
      <c r="L47" s="39"/>
      <c r="M47" t="s">
        <v>285</v>
      </c>
    </row>
    <row r="48" spans="1:13" x14ac:dyDescent="0.25">
      <c r="A48" s="18"/>
      <c r="B48" s="42"/>
      <c r="C48" s="15" t="str">
        <f>_xll.ohRangeRetrieveError(B48)</f>
        <v/>
      </c>
      <c r="E48" s="15" t="str">
        <f>_xll.ohRangeRetrieveError(D48)</f>
        <v/>
      </c>
      <c r="F48" s="24">
        <f t="shared" si="1"/>
        <v>118.87222222222222</v>
      </c>
      <c r="G48" s="24">
        <f t="shared" si="2"/>
        <v>1</v>
      </c>
      <c r="J48" s="18"/>
      <c r="K48" s="18"/>
      <c r="L48" s="39"/>
    </row>
    <row r="49" spans="1:14" x14ac:dyDescent="0.25">
      <c r="A49" s="18"/>
      <c r="B49" s="42"/>
      <c r="C49" s="15" t="str">
        <f>_xll.ohRangeRetrieveError(B49)</f>
        <v/>
      </c>
      <c r="E49" s="15" t="str">
        <f>_xll.ohRangeRetrieveError(D49)</f>
        <v/>
      </c>
      <c r="F49" s="24">
        <f t="shared" si="1"/>
        <v>118.87222222222222</v>
      </c>
      <c r="G49" s="24">
        <f t="shared" si="2"/>
        <v>1</v>
      </c>
      <c r="J49" s="18"/>
      <c r="K49" s="18"/>
      <c r="L49" s="39"/>
      <c r="M49" t="s">
        <v>118</v>
      </c>
    </row>
    <row r="50" spans="1:14" ht="30" x14ac:dyDescent="0.25">
      <c r="A50" s="18"/>
      <c r="B50" s="42"/>
      <c r="C50" s="15" t="str">
        <f>_xll.ohRangeRetrieveError(B50)</f>
        <v/>
      </c>
      <c r="E50" s="15" t="str">
        <f>_xll.ohRangeRetrieveError(D50)</f>
        <v/>
      </c>
      <c r="F50" s="24">
        <f t="shared" si="1"/>
        <v>118.87222222222222</v>
      </c>
      <c r="G50" s="24">
        <f t="shared" si="2"/>
        <v>1</v>
      </c>
      <c r="J50" s="18"/>
      <c r="K50" s="18"/>
      <c r="L50" s="39"/>
      <c r="M50" s="14" t="s">
        <v>119</v>
      </c>
      <c r="N50" s="14" t="s">
        <v>286</v>
      </c>
    </row>
    <row r="51" spans="1:14" x14ac:dyDescent="0.25">
      <c r="A51" s="18"/>
      <c r="B51" s="42"/>
      <c r="C51" s="15" t="str">
        <f>_xll.ohRangeRetrieveError(B51)</f>
        <v/>
      </c>
      <c r="E51" s="15" t="str">
        <f>_xll.ohRangeRetrieveError(D51)</f>
        <v/>
      </c>
      <c r="F51" s="24">
        <f t="shared" si="1"/>
        <v>118.87222222222222</v>
      </c>
      <c r="G51" s="24">
        <f t="shared" si="2"/>
        <v>1</v>
      </c>
      <c r="J51" s="18"/>
      <c r="K51" s="18"/>
      <c r="L51" s="39"/>
      <c r="M51" s="14" t="s">
        <v>314</v>
      </c>
      <c r="N51" s="14" t="s">
        <v>315</v>
      </c>
    </row>
    <row r="52" spans="1:14" ht="30" x14ac:dyDescent="0.25">
      <c r="A52" s="18"/>
      <c r="B52" s="42"/>
      <c r="C52" s="15" t="str">
        <f>_xll.ohRangeRetrieveError(B52)</f>
        <v/>
      </c>
      <c r="E52" s="15" t="str">
        <f>_xll.ohRangeRetrieveError(D52)</f>
        <v/>
      </c>
      <c r="F52" s="24">
        <f t="shared" si="1"/>
        <v>118.87222222222222</v>
      </c>
      <c r="G52" s="24">
        <f t="shared" si="2"/>
        <v>1</v>
      </c>
      <c r="J52" s="18"/>
      <c r="K52" s="18"/>
      <c r="L52" s="39"/>
      <c r="M52" s="14" t="s">
        <v>294</v>
      </c>
      <c r="N52" s="14" t="s">
        <v>295</v>
      </c>
    </row>
    <row r="53" spans="1:14" x14ac:dyDescent="0.25">
      <c r="A53" s="18"/>
      <c r="B53" s="42"/>
      <c r="C53" s="15" t="str">
        <f>_xll.ohRangeRetrieveError(B53)</f>
        <v/>
      </c>
      <c r="E53" s="15" t="str">
        <f>_xll.ohRangeRetrieveError(D53)</f>
        <v/>
      </c>
      <c r="F53" s="24">
        <f t="shared" si="1"/>
        <v>118.87222222222222</v>
      </c>
      <c r="G53" s="24">
        <f t="shared" si="2"/>
        <v>1</v>
      </c>
      <c r="J53" s="18"/>
      <c r="K53" s="18"/>
      <c r="L53" s="39"/>
      <c r="M53" s="14" t="s">
        <v>125</v>
      </c>
      <c r="N53" s="14" t="s">
        <v>126</v>
      </c>
    </row>
    <row r="54" spans="1:14" x14ac:dyDescent="0.25">
      <c r="A54" s="18"/>
      <c r="B54" s="42"/>
      <c r="C54" s="15" t="str">
        <f>_xll.ohRangeRetrieveError(B54)</f>
        <v/>
      </c>
      <c r="E54" s="15" t="str">
        <f>_xll.ohRangeRetrieveError(D54)</f>
        <v/>
      </c>
      <c r="F54" s="24">
        <f t="shared" si="1"/>
        <v>118.87222222222222</v>
      </c>
      <c r="G54" s="24">
        <f t="shared" si="2"/>
        <v>1</v>
      </c>
      <c r="J54" s="18"/>
      <c r="K54" s="18"/>
      <c r="L54" s="39"/>
    </row>
    <row r="55" spans="1:14" x14ac:dyDescent="0.25">
      <c r="A55" s="18"/>
      <c r="B55" s="42"/>
      <c r="C55" s="15" t="str">
        <f>_xll.ohRangeRetrieveError(B55)</f>
        <v/>
      </c>
      <c r="E55" s="15" t="str">
        <f>_xll.ohRangeRetrieveError(D55)</f>
        <v/>
      </c>
      <c r="F55" s="24">
        <f t="shared" si="1"/>
        <v>118.87222222222222</v>
      </c>
      <c r="G55" s="24">
        <f t="shared" si="2"/>
        <v>1</v>
      </c>
      <c r="J55" s="18"/>
      <c r="K55" s="18"/>
      <c r="L55" s="39"/>
    </row>
    <row r="56" spans="1:14" x14ac:dyDescent="0.25">
      <c r="A56" s="18"/>
      <c r="B56" s="42"/>
      <c r="C56" s="15" t="str">
        <f>_xll.ohRangeRetrieveError(B56)</f>
        <v/>
      </c>
      <c r="E56" s="15" t="str">
        <f>_xll.ohRangeRetrieveError(D56)</f>
        <v/>
      </c>
      <c r="F56" s="24">
        <f t="shared" si="1"/>
        <v>118.87222222222222</v>
      </c>
      <c r="G56" s="24">
        <f t="shared" si="2"/>
        <v>1</v>
      </c>
      <c r="J56" s="18"/>
      <c r="K56" s="18"/>
      <c r="L56" s="39"/>
    </row>
    <row r="57" spans="1:14" x14ac:dyDescent="0.25">
      <c r="A57" s="18"/>
      <c r="B57" s="42"/>
      <c r="C57" s="15" t="str">
        <f>_xll.ohRangeRetrieveError(B57)</f>
        <v/>
      </c>
      <c r="E57" s="15" t="str">
        <f>_xll.ohRangeRetrieveError(D57)</f>
        <v/>
      </c>
      <c r="F57" s="24">
        <f t="shared" si="1"/>
        <v>118.87222222222222</v>
      </c>
      <c r="G57" s="24">
        <f t="shared" si="2"/>
        <v>1</v>
      </c>
      <c r="J57" s="18"/>
      <c r="K57" s="18"/>
      <c r="L57" s="39"/>
      <c r="M57" s="13" t="s">
        <v>316</v>
      </c>
    </row>
    <row r="58" spans="1:14" x14ac:dyDescent="0.25">
      <c r="A58" s="18"/>
      <c r="B58" s="42"/>
      <c r="C58" s="15" t="str">
        <f>_xll.ohRangeRetrieveError(B58)</f>
        <v/>
      </c>
      <c r="E58" s="15" t="str">
        <f>_xll.ohRangeRetrieveError(D58)</f>
        <v/>
      </c>
      <c r="F58" s="24">
        <f t="shared" si="1"/>
        <v>118.87222222222222</v>
      </c>
      <c r="G58" s="24">
        <f t="shared" si="2"/>
        <v>1</v>
      </c>
      <c r="J58" s="18"/>
      <c r="K58" s="18"/>
      <c r="L58" s="39"/>
    </row>
    <row r="59" spans="1:14" x14ac:dyDescent="0.25">
      <c r="A59" s="18"/>
      <c r="B59" s="42"/>
      <c r="C59" s="15" t="str">
        <f>_xll.ohRangeRetrieveError(B59)</f>
        <v/>
      </c>
      <c r="E59" s="15" t="str">
        <f>_xll.ohRangeRetrieveError(D59)</f>
        <v/>
      </c>
      <c r="F59" s="24">
        <f t="shared" si="1"/>
        <v>118.87222222222222</v>
      </c>
      <c r="G59" s="24">
        <f t="shared" si="2"/>
        <v>1</v>
      </c>
      <c r="J59" s="18"/>
      <c r="K59" s="18"/>
      <c r="L59" s="39"/>
      <c r="M59" t="s">
        <v>217</v>
      </c>
    </row>
    <row r="60" spans="1:14" x14ac:dyDescent="0.25">
      <c r="A60" s="18"/>
      <c r="B60" s="42"/>
      <c r="C60" s="15" t="str">
        <f>_xll.ohRangeRetrieveError(B60)</f>
        <v/>
      </c>
      <c r="E60" s="15" t="str">
        <f>_xll.ohRangeRetrieveError(D60)</f>
        <v/>
      </c>
      <c r="F60" s="24">
        <f t="shared" si="1"/>
        <v>118.87222222222222</v>
      </c>
      <c r="G60" s="24">
        <f t="shared" si="2"/>
        <v>1</v>
      </c>
      <c r="J60" s="18"/>
      <c r="K60" s="18"/>
      <c r="L60" s="39"/>
      <c r="M60" t="s">
        <v>317</v>
      </c>
    </row>
    <row r="61" spans="1:14" x14ac:dyDescent="0.25">
      <c r="A61" s="18"/>
      <c r="B61" s="42"/>
      <c r="C61" s="15" t="str">
        <f>_xll.ohRangeRetrieveError(B61)</f>
        <v/>
      </c>
      <c r="E61" s="15" t="str">
        <f>_xll.ohRangeRetrieveError(D61)</f>
        <v/>
      </c>
      <c r="F61" s="24">
        <f t="shared" si="1"/>
        <v>118.87222222222222</v>
      </c>
      <c r="G61" s="24">
        <f t="shared" si="2"/>
        <v>1</v>
      </c>
      <c r="J61" s="18"/>
      <c r="K61" s="18"/>
      <c r="L61" s="39"/>
      <c r="M61" t="s">
        <v>109</v>
      </c>
    </row>
    <row r="62" spans="1:14" x14ac:dyDescent="0.25">
      <c r="A62" s="18"/>
      <c r="B62" s="42"/>
      <c r="C62" s="15" t="str">
        <f>_xll.ohRangeRetrieveError(B62)</f>
        <v/>
      </c>
      <c r="E62" s="15" t="str">
        <f>_xll.ohRangeRetrieveError(D62)</f>
        <v/>
      </c>
      <c r="F62" s="24">
        <f t="shared" si="1"/>
        <v>118.87222222222222</v>
      </c>
      <c r="G62" s="24">
        <f t="shared" si="2"/>
        <v>1</v>
      </c>
      <c r="J62" s="18"/>
      <c r="K62" s="18"/>
      <c r="L62" s="39"/>
      <c r="M62" t="s">
        <v>318</v>
      </c>
    </row>
    <row r="63" spans="1:14" x14ac:dyDescent="0.25">
      <c r="A63" s="18"/>
      <c r="B63" s="42"/>
      <c r="C63" s="15" t="str">
        <f>_xll.ohRangeRetrieveError(B63)</f>
        <v/>
      </c>
      <c r="E63" s="15" t="str">
        <f>_xll.ohRangeRetrieveError(D63)</f>
        <v/>
      </c>
      <c r="F63" s="24">
        <f t="shared" si="1"/>
        <v>118.87222222222222</v>
      </c>
      <c r="G63" s="24">
        <f t="shared" si="2"/>
        <v>1</v>
      </c>
      <c r="J63" s="18"/>
      <c r="K63" s="18"/>
      <c r="L63" s="39"/>
      <c r="M63" t="s">
        <v>319</v>
      </c>
    </row>
    <row r="64" spans="1:14" x14ac:dyDescent="0.25">
      <c r="A64" s="18"/>
      <c r="B64" s="42"/>
      <c r="C64" s="15" t="str">
        <f>_xll.ohRangeRetrieveError(B64)</f>
        <v/>
      </c>
      <c r="E64" s="15" t="str">
        <f>_xll.ohRangeRetrieveError(D64)</f>
        <v/>
      </c>
      <c r="F64" s="24">
        <f t="shared" si="1"/>
        <v>118.87222222222222</v>
      </c>
      <c r="G64" s="24">
        <f t="shared" si="2"/>
        <v>1</v>
      </c>
      <c r="J64" s="18"/>
      <c r="K64" s="18"/>
      <c r="L64" s="39"/>
      <c r="M64" t="s">
        <v>280</v>
      </c>
    </row>
    <row r="65" spans="1:14" x14ac:dyDescent="0.25">
      <c r="A65" s="18"/>
      <c r="B65" s="42"/>
      <c r="C65" s="15" t="str">
        <f>_xll.ohRangeRetrieveError(B65)</f>
        <v/>
      </c>
      <c r="E65" s="15" t="str">
        <f>_xll.ohRangeRetrieveError(D65)</f>
        <v/>
      </c>
      <c r="F65" s="24">
        <f t="shared" si="1"/>
        <v>118.87222222222222</v>
      </c>
      <c r="G65" s="24">
        <f t="shared" si="2"/>
        <v>1</v>
      </c>
      <c r="J65" s="18"/>
      <c r="K65" s="18"/>
      <c r="L65" s="39"/>
      <c r="M65" t="s">
        <v>281</v>
      </c>
    </row>
    <row r="66" spans="1:14" x14ac:dyDescent="0.25">
      <c r="A66" s="18"/>
      <c r="B66" s="42"/>
      <c r="C66" s="15" t="str">
        <f>_xll.ohRangeRetrieveError(B66)</f>
        <v/>
      </c>
      <c r="E66" s="15" t="str">
        <f>_xll.ohRangeRetrieveError(D66)</f>
        <v/>
      </c>
      <c r="F66" s="24">
        <f t="shared" si="1"/>
        <v>118.87222222222222</v>
      </c>
      <c r="G66" s="24">
        <f t="shared" si="2"/>
        <v>1</v>
      </c>
      <c r="J66" s="18"/>
      <c r="K66" s="18"/>
      <c r="L66" s="39"/>
      <c r="M66" t="s">
        <v>282</v>
      </c>
    </row>
    <row r="67" spans="1:14" x14ac:dyDescent="0.25">
      <c r="A67" s="18"/>
      <c r="B67" s="42"/>
      <c r="C67" s="15" t="str">
        <f>_xll.ohRangeRetrieveError(B67)</f>
        <v/>
      </c>
      <c r="E67" s="15" t="str">
        <f>_xll.ohRangeRetrieveError(D67)</f>
        <v/>
      </c>
      <c r="F67" s="24">
        <f t="shared" si="1"/>
        <v>118.87222222222222</v>
      </c>
      <c r="G67" s="24">
        <f t="shared" si="2"/>
        <v>1</v>
      </c>
      <c r="J67" s="18"/>
      <c r="K67" s="18"/>
      <c r="L67" s="39"/>
      <c r="M67" t="s">
        <v>283</v>
      </c>
    </row>
    <row r="68" spans="1:14" x14ac:dyDescent="0.25">
      <c r="A68" s="18"/>
      <c r="B68" s="42"/>
      <c r="C68" s="15" t="str">
        <f>_xll.ohRangeRetrieveError(B68)</f>
        <v/>
      </c>
      <c r="E68" s="15" t="str">
        <f>_xll.ohRangeRetrieveError(D68)</f>
        <v/>
      </c>
      <c r="F68" s="24">
        <f t="shared" ref="F68:F81" si="4">YEARFRAC($I$6,A68,2)</f>
        <v>118.87222222222222</v>
      </c>
      <c r="G68" s="24">
        <f t="shared" ref="G68:G81" si="5">EXP(-F68*B68)</f>
        <v>1</v>
      </c>
      <c r="J68" s="18"/>
      <c r="K68" s="18"/>
      <c r="L68" s="39"/>
      <c r="M68" t="s">
        <v>226</v>
      </c>
    </row>
    <row r="69" spans="1:14" x14ac:dyDescent="0.25">
      <c r="A69" s="18"/>
      <c r="B69" s="42"/>
      <c r="C69" s="15" t="str">
        <f>_xll.ohRangeRetrieveError(B69)</f>
        <v/>
      </c>
      <c r="E69" s="15" t="str">
        <f>_xll.ohRangeRetrieveError(D69)</f>
        <v/>
      </c>
      <c r="F69" s="24">
        <f t="shared" si="4"/>
        <v>118.87222222222222</v>
      </c>
      <c r="G69" s="24">
        <f t="shared" si="5"/>
        <v>1</v>
      </c>
      <c r="J69" s="18"/>
      <c r="K69" s="18"/>
      <c r="L69" s="39"/>
    </row>
    <row r="70" spans="1:14" x14ac:dyDescent="0.25">
      <c r="A70" s="18"/>
      <c r="B70" s="42"/>
      <c r="C70" s="15" t="str">
        <f>_xll.ohRangeRetrieveError(B70)</f>
        <v/>
      </c>
      <c r="E70" s="15" t="str">
        <f>_xll.ohRangeRetrieveError(D70)</f>
        <v/>
      </c>
      <c r="F70" s="24">
        <f t="shared" si="4"/>
        <v>118.87222222222222</v>
      </c>
      <c r="G70" s="24">
        <f t="shared" si="5"/>
        <v>1</v>
      </c>
      <c r="J70" s="18"/>
      <c r="K70" s="18"/>
      <c r="L70" s="39"/>
      <c r="M70" t="s">
        <v>114</v>
      </c>
    </row>
    <row r="71" spans="1:14" x14ac:dyDescent="0.25">
      <c r="A71" s="18"/>
      <c r="B71" s="42"/>
      <c r="C71" s="15" t="str">
        <f>_xll.ohRangeRetrieveError(B71)</f>
        <v/>
      </c>
      <c r="E71" s="15" t="str">
        <f>_xll.ohRangeRetrieveError(D71)</f>
        <v/>
      </c>
      <c r="F71" s="24">
        <f t="shared" si="4"/>
        <v>118.87222222222222</v>
      </c>
      <c r="G71" s="24">
        <f t="shared" si="5"/>
        <v>1</v>
      </c>
      <c r="J71" s="18"/>
      <c r="K71" s="18"/>
      <c r="L71" s="39"/>
    </row>
    <row r="72" spans="1:14" x14ac:dyDescent="0.25">
      <c r="A72" s="18"/>
      <c r="B72" s="42"/>
      <c r="C72" s="15" t="str">
        <f>_xll.ohRangeRetrieveError(B72)</f>
        <v/>
      </c>
      <c r="E72" s="15" t="str">
        <f>_xll.ohRangeRetrieveError(D72)</f>
        <v/>
      </c>
      <c r="F72" s="24">
        <f t="shared" si="4"/>
        <v>118.87222222222222</v>
      </c>
      <c r="G72" s="24">
        <f t="shared" si="5"/>
        <v>1</v>
      </c>
      <c r="J72" s="18"/>
      <c r="K72" s="18"/>
      <c r="L72" s="39"/>
      <c r="M72" t="s">
        <v>324</v>
      </c>
    </row>
    <row r="73" spans="1:14" x14ac:dyDescent="0.25">
      <c r="A73" s="18"/>
      <c r="B73" s="42"/>
      <c r="C73" s="15" t="str">
        <f>_xll.ohRangeRetrieveError(B73)</f>
        <v/>
      </c>
      <c r="E73" s="15" t="str">
        <f>_xll.ohRangeRetrieveError(D73)</f>
        <v/>
      </c>
      <c r="F73" s="24">
        <f t="shared" si="4"/>
        <v>118.87222222222222</v>
      </c>
      <c r="G73" s="24">
        <f t="shared" si="5"/>
        <v>1</v>
      </c>
      <c r="J73" s="18"/>
      <c r="K73" s="18"/>
      <c r="L73" s="39"/>
    </row>
    <row r="74" spans="1:14" x14ac:dyDescent="0.25">
      <c r="A74" s="18"/>
      <c r="B74" s="42"/>
      <c r="C74" s="15" t="str">
        <f>_xll.ohRangeRetrieveError(B74)</f>
        <v/>
      </c>
      <c r="E74" s="15" t="str">
        <f>_xll.ohRangeRetrieveError(D74)</f>
        <v/>
      </c>
      <c r="F74" s="24">
        <f t="shared" si="4"/>
        <v>118.87222222222222</v>
      </c>
      <c r="G74" s="24">
        <f t="shared" si="5"/>
        <v>1</v>
      </c>
      <c r="J74" s="18"/>
      <c r="K74" s="18"/>
      <c r="L74" s="39"/>
      <c r="M74" t="s">
        <v>116</v>
      </c>
    </row>
    <row r="75" spans="1:14" x14ac:dyDescent="0.25">
      <c r="A75" s="18"/>
      <c r="B75" s="42"/>
      <c r="C75" s="15" t="str">
        <f>_xll.ohRangeRetrieveError(B75)</f>
        <v/>
      </c>
      <c r="E75" s="15" t="str">
        <f>_xll.ohRangeRetrieveError(D75)</f>
        <v/>
      </c>
      <c r="F75" s="24">
        <f t="shared" si="4"/>
        <v>118.87222222222222</v>
      </c>
      <c r="G75" s="24">
        <f t="shared" si="5"/>
        <v>1</v>
      </c>
      <c r="J75" s="18"/>
      <c r="K75" s="18"/>
      <c r="L75" s="39"/>
    </row>
    <row r="76" spans="1:14" x14ac:dyDescent="0.25">
      <c r="A76" s="18"/>
      <c r="B76" s="42"/>
      <c r="C76" s="15" t="str">
        <f>_xll.ohRangeRetrieveError(B76)</f>
        <v/>
      </c>
      <c r="E76" s="15" t="str">
        <f>_xll.ohRangeRetrieveError(D76)</f>
        <v/>
      </c>
      <c r="F76" s="24">
        <f t="shared" si="4"/>
        <v>118.87222222222222</v>
      </c>
      <c r="G76" s="24">
        <f t="shared" si="5"/>
        <v>1</v>
      </c>
      <c r="J76" s="18"/>
      <c r="K76" s="18"/>
      <c r="L76" s="39"/>
      <c r="M76" t="s">
        <v>228</v>
      </c>
    </row>
    <row r="77" spans="1:14" x14ac:dyDescent="0.25">
      <c r="A77" s="18"/>
      <c r="B77" s="42"/>
      <c r="C77" s="15" t="str">
        <f>_xll.ohRangeRetrieveError(B77)</f>
        <v/>
      </c>
      <c r="E77" s="15" t="str">
        <f>_xll.ohRangeRetrieveError(D77)</f>
        <v/>
      </c>
      <c r="F77" s="24">
        <f t="shared" si="4"/>
        <v>118.87222222222222</v>
      </c>
      <c r="G77" s="24">
        <f t="shared" si="5"/>
        <v>1</v>
      </c>
      <c r="J77" s="18"/>
      <c r="K77" s="18"/>
      <c r="L77" s="39"/>
    </row>
    <row r="78" spans="1:14" x14ac:dyDescent="0.25">
      <c r="A78" s="18"/>
      <c r="B78" s="42"/>
      <c r="C78" s="15" t="str">
        <f>_xll.ohRangeRetrieveError(B78)</f>
        <v/>
      </c>
      <c r="E78" s="15" t="str">
        <f>_xll.ohRangeRetrieveError(D78)</f>
        <v/>
      </c>
      <c r="F78" s="24">
        <f t="shared" si="4"/>
        <v>118.87222222222222</v>
      </c>
      <c r="G78" s="24">
        <f t="shared" si="5"/>
        <v>1</v>
      </c>
      <c r="J78" s="18"/>
      <c r="K78" s="18"/>
      <c r="L78" s="39"/>
      <c r="M78" t="s">
        <v>118</v>
      </c>
    </row>
    <row r="79" spans="1:14" ht="30" x14ac:dyDescent="0.25">
      <c r="A79" s="18"/>
      <c r="B79" s="42"/>
      <c r="C79" s="15" t="str">
        <f>_xll.ohRangeRetrieveError(B79)</f>
        <v/>
      </c>
      <c r="E79" s="15" t="str">
        <f>_xll.ohRangeRetrieveError(D79)</f>
        <v/>
      </c>
      <c r="F79" s="24">
        <f t="shared" si="4"/>
        <v>118.87222222222222</v>
      </c>
      <c r="G79" s="24">
        <f t="shared" si="5"/>
        <v>1</v>
      </c>
      <c r="J79" s="18"/>
      <c r="K79" s="18"/>
      <c r="L79" s="39"/>
      <c r="M79" s="14" t="s">
        <v>119</v>
      </c>
      <c r="N79" s="14" t="s">
        <v>286</v>
      </c>
    </row>
    <row r="80" spans="1:14" x14ac:dyDescent="0.25">
      <c r="A80" s="18"/>
      <c r="B80" s="42"/>
      <c r="C80" s="15" t="str">
        <f>_xll.ohRangeRetrieveError(B80)</f>
        <v/>
      </c>
      <c r="E80" s="15" t="str">
        <f>_xll.ohRangeRetrieveError(D80)</f>
        <v/>
      </c>
      <c r="F80" s="24">
        <f t="shared" si="4"/>
        <v>118.87222222222222</v>
      </c>
      <c r="G80" s="24">
        <f t="shared" si="5"/>
        <v>1</v>
      </c>
      <c r="J80" s="18"/>
      <c r="K80" s="18"/>
      <c r="L80" s="39"/>
      <c r="M80" s="14" t="s">
        <v>325</v>
      </c>
      <c r="N80" s="14" t="s">
        <v>326</v>
      </c>
    </row>
    <row r="81" spans="1:14" x14ac:dyDescent="0.25">
      <c r="A81" s="18"/>
      <c r="B81" s="42"/>
      <c r="C81" s="15" t="str">
        <f>_xll.ohRangeRetrieveError(B81)</f>
        <v/>
      </c>
      <c r="E81" s="15" t="str">
        <f>_xll.ohRangeRetrieveError(D81)</f>
        <v/>
      </c>
      <c r="F81" s="24">
        <f t="shared" si="4"/>
        <v>118.87222222222222</v>
      </c>
      <c r="G81" s="24">
        <f t="shared" si="5"/>
        <v>1</v>
      </c>
      <c r="J81" s="18"/>
      <c r="K81" s="18"/>
      <c r="L81" s="39"/>
      <c r="M81" s="14" t="s">
        <v>327</v>
      </c>
      <c r="N81" s="14" t="s">
        <v>328</v>
      </c>
    </row>
    <row r="82" spans="1:14" x14ac:dyDescent="0.25">
      <c r="L82" s="30"/>
      <c r="M82" s="14" t="s">
        <v>288</v>
      </c>
      <c r="N82" s="14" t="s">
        <v>329</v>
      </c>
    </row>
    <row r="83" spans="1:14" ht="60" x14ac:dyDescent="0.25">
      <c r="L83" s="30"/>
      <c r="M83" s="14" t="s">
        <v>290</v>
      </c>
      <c r="N83" s="14" t="s">
        <v>330</v>
      </c>
    </row>
    <row r="84" spans="1:14" ht="45" x14ac:dyDescent="0.25">
      <c r="L84" s="30"/>
      <c r="M84" s="14" t="s">
        <v>292</v>
      </c>
      <c r="N84" s="14" t="s">
        <v>293</v>
      </c>
    </row>
    <row r="85" spans="1:14" ht="30" x14ac:dyDescent="0.25">
      <c r="L85" s="30"/>
      <c r="M85" s="14" t="s">
        <v>294</v>
      </c>
      <c r="N85" s="14" t="s">
        <v>295</v>
      </c>
    </row>
    <row r="86" spans="1:14" x14ac:dyDescent="0.25">
      <c r="L86" s="30"/>
      <c r="M86" s="14" t="s">
        <v>125</v>
      </c>
      <c r="N86" s="14" t="s">
        <v>126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60"/>
  <sheetViews>
    <sheetView topLeftCell="B1" workbookViewId="0">
      <selection activeCell="BB3" sqref="BB3"/>
    </sheetView>
  </sheetViews>
  <sheetFormatPr defaultRowHeight="15" outlineLevelCol="1" x14ac:dyDescent="0.25"/>
  <cols>
    <col min="1" max="1" width="26" customWidth="1"/>
    <col min="2" max="2" width="30.140625" customWidth="1"/>
    <col min="3" max="3" width="18.5703125" customWidth="1"/>
    <col min="4" max="4" width="9.140625" hidden="1" customWidth="1" outlineLevel="1"/>
    <col min="5" max="5" width="44.5703125" hidden="1" customWidth="1" outlineLevel="1"/>
    <col min="6" max="6" width="16.7109375" hidden="1" customWidth="1" outlineLevel="1"/>
    <col min="7" max="7" width="36.140625" hidden="1" customWidth="1" outlineLevel="1"/>
    <col min="8" max="17" width="9.140625" hidden="1" customWidth="1" outlineLevel="1"/>
    <col min="18" max="18" width="27.85546875" bestFit="1" customWidth="1" collapsed="1"/>
    <col min="19" max="19" width="23.5703125" hidden="1" customWidth="1" outlineLevel="1"/>
    <col min="20" max="33" width="0" hidden="1" customWidth="1" outlineLevel="1"/>
    <col min="34" max="34" width="27.28515625" customWidth="1" collapsed="1"/>
    <col min="35" max="35" width="20.5703125" hidden="1" customWidth="1" outlineLevel="1"/>
    <col min="36" max="36" width="39.140625" hidden="1" customWidth="1" outlineLevel="1"/>
    <col min="37" max="39" width="0" hidden="1" customWidth="1" outlineLevel="1"/>
    <col min="40" max="40" width="19" bestFit="1" customWidth="1" collapsed="1"/>
    <col min="41" max="41" width="44.28515625" hidden="1" customWidth="1" outlineLevel="1"/>
    <col min="42" max="42" width="26" hidden="1" customWidth="1" outlineLevel="1"/>
    <col min="43" max="43" width="0" hidden="1" customWidth="1" outlineLevel="1"/>
    <col min="44" max="44" width="18.140625" bestFit="1" customWidth="1" collapsed="1"/>
    <col min="45" max="46" width="0" hidden="1" customWidth="1" outlineLevel="1"/>
    <col min="47" max="47" width="10.7109375" bestFit="1" customWidth="1" collapsed="1"/>
    <col min="49" max="49" width="10.7109375" bestFit="1" customWidth="1"/>
    <col min="51" max="52" width="10.7109375" bestFit="1" customWidth="1"/>
    <col min="53" max="53" width="28" bestFit="1" customWidth="1"/>
    <col min="54" max="54" width="12" bestFit="1" customWidth="1"/>
  </cols>
  <sheetData>
    <row r="1" spans="1:54" x14ac:dyDescent="0.25">
      <c r="A1" s="13" t="s">
        <v>545</v>
      </c>
      <c r="C1" s="72" t="s">
        <v>634</v>
      </c>
      <c r="D1" t="s">
        <v>119</v>
      </c>
      <c r="E1" t="s">
        <v>554</v>
      </c>
      <c r="F1" t="s">
        <v>556</v>
      </c>
      <c r="G1" t="s">
        <v>144</v>
      </c>
      <c r="H1" t="s">
        <v>148</v>
      </c>
      <c r="I1" t="s">
        <v>150</v>
      </c>
      <c r="J1" t="s">
        <v>561</v>
      </c>
      <c r="K1" t="s">
        <v>563</v>
      </c>
      <c r="L1" t="s">
        <v>152</v>
      </c>
      <c r="M1" t="s">
        <v>566</v>
      </c>
      <c r="N1" t="s">
        <v>568</v>
      </c>
      <c r="O1" t="s">
        <v>123</v>
      </c>
      <c r="P1" t="s">
        <v>125</v>
      </c>
      <c r="Q1" t="s">
        <v>127</v>
      </c>
      <c r="R1" s="74" t="s">
        <v>610</v>
      </c>
      <c r="S1" t="s">
        <v>119</v>
      </c>
      <c r="T1" t="s">
        <v>0</v>
      </c>
      <c r="U1" t="s">
        <v>591</v>
      </c>
      <c r="V1" t="s">
        <v>593</v>
      </c>
      <c r="W1" t="s">
        <v>595</v>
      </c>
      <c r="X1" t="s">
        <v>597</v>
      </c>
      <c r="Y1" t="s">
        <v>599</v>
      </c>
      <c r="Z1" t="s">
        <v>154</v>
      </c>
      <c r="AA1" t="s">
        <v>602</v>
      </c>
      <c r="AB1" t="s">
        <v>604</v>
      </c>
      <c r="AC1" t="s">
        <v>606</v>
      </c>
      <c r="AD1" t="s">
        <v>608</v>
      </c>
      <c r="AE1" t="s">
        <v>123</v>
      </c>
      <c r="AF1" t="s">
        <v>125</v>
      </c>
      <c r="AG1" t="s">
        <v>127</v>
      </c>
      <c r="AH1" s="75" t="s">
        <v>642</v>
      </c>
      <c r="AI1" t="s">
        <v>119</v>
      </c>
      <c r="AJ1" t="s">
        <v>121</v>
      </c>
      <c r="AK1" t="s">
        <v>123</v>
      </c>
      <c r="AL1" t="s">
        <v>125</v>
      </c>
      <c r="AM1" t="s">
        <v>127</v>
      </c>
      <c r="AN1" s="76" t="s">
        <v>652</v>
      </c>
      <c r="AO1" t="s">
        <v>119</v>
      </c>
      <c r="AP1" t="s">
        <v>650</v>
      </c>
      <c r="AQ1" t="s">
        <v>125</v>
      </c>
      <c r="AR1" s="77" t="s">
        <v>658</v>
      </c>
      <c r="AS1" t="s">
        <v>119</v>
      </c>
      <c r="AT1" t="s">
        <v>125</v>
      </c>
      <c r="AU1" t="s">
        <v>659</v>
      </c>
      <c r="AV1" t="s">
        <v>662</v>
      </c>
      <c r="AW1" t="s">
        <v>660</v>
      </c>
      <c r="AX1" t="s">
        <v>663</v>
      </c>
      <c r="AY1" t="s">
        <v>661</v>
      </c>
      <c r="BA1" t="s">
        <v>664</v>
      </c>
      <c r="BB1" t="s">
        <v>665</v>
      </c>
    </row>
    <row r="2" spans="1:54" x14ac:dyDescent="0.25">
      <c r="C2" s="72"/>
      <c r="D2" t="s">
        <v>120</v>
      </c>
      <c r="E2" t="s">
        <v>555</v>
      </c>
      <c r="F2" t="s">
        <v>557</v>
      </c>
      <c r="G2" t="s">
        <v>558</v>
      </c>
      <c r="H2" t="s">
        <v>559</v>
      </c>
      <c r="I2" t="s">
        <v>560</v>
      </c>
      <c r="J2" t="s">
        <v>562</v>
      </c>
      <c r="K2" t="s">
        <v>564</v>
      </c>
      <c r="L2" t="s">
        <v>565</v>
      </c>
      <c r="M2" t="s">
        <v>567</v>
      </c>
      <c r="N2" t="s">
        <v>569</v>
      </c>
      <c r="O2" t="s">
        <v>124</v>
      </c>
      <c r="P2" t="s">
        <v>126</v>
      </c>
      <c r="Q2" t="s">
        <v>128</v>
      </c>
      <c r="R2" s="74"/>
      <c r="S2" t="s">
        <v>120</v>
      </c>
      <c r="T2" t="s">
        <v>590</v>
      </c>
      <c r="U2" t="s">
        <v>592</v>
      </c>
      <c r="V2" t="s">
        <v>594</v>
      </c>
      <c r="W2" t="s">
        <v>596</v>
      </c>
      <c r="X2" t="s">
        <v>598</v>
      </c>
      <c r="Y2" t="s">
        <v>600</v>
      </c>
      <c r="Z2" t="s">
        <v>601</v>
      </c>
      <c r="AA2" t="s">
        <v>603</v>
      </c>
      <c r="AB2" t="s">
        <v>605</v>
      </c>
      <c r="AC2" t="s">
        <v>607</v>
      </c>
      <c r="AD2" t="s">
        <v>609</v>
      </c>
      <c r="AE2" t="s">
        <v>124</v>
      </c>
      <c r="AF2" t="s">
        <v>126</v>
      </c>
      <c r="AG2" t="s">
        <v>128</v>
      </c>
      <c r="AH2" s="75"/>
      <c r="AI2" t="s">
        <v>120</v>
      </c>
      <c r="AJ2" t="s">
        <v>641</v>
      </c>
      <c r="AK2" t="s">
        <v>124</v>
      </c>
      <c r="AL2" t="s">
        <v>126</v>
      </c>
      <c r="AM2" t="s">
        <v>128</v>
      </c>
      <c r="AN2" s="76"/>
      <c r="AO2" t="s">
        <v>649</v>
      </c>
      <c r="AP2" t="s">
        <v>651</v>
      </c>
      <c r="AQ2" t="s">
        <v>126</v>
      </c>
      <c r="AR2" s="77"/>
      <c r="AS2" t="s">
        <v>657</v>
      </c>
      <c r="AT2" t="s">
        <v>126</v>
      </c>
    </row>
    <row r="3" spans="1:54" x14ac:dyDescent="0.25">
      <c r="A3" t="s">
        <v>107</v>
      </c>
      <c r="C3" s="72" t="str">
        <f>_xll.qlSchedule(D3,E3,F3,G3,H3,I3,J3,K3,L3)</f>
        <v>esempio BTP#0000</v>
      </c>
      <c r="D3" t="s">
        <v>633</v>
      </c>
      <c r="E3" s="10">
        <f>'3.DataAnalisi'!A1</f>
        <v>42790</v>
      </c>
      <c r="F3" s="10">
        <f>DATE(2023,8,1)</f>
        <v>45139</v>
      </c>
      <c r="G3" t="s">
        <v>187</v>
      </c>
      <c r="H3" t="s">
        <v>157</v>
      </c>
      <c r="I3" t="s">
        <v>571</v>
      </c>
      <c r="J3" t="s">
        <v>571</v>
      </c>
      <c r="K3" t="s">
        <v>572</v>
      </c>
      <c r="L3" t="b">
        <v>0</v>
      </c>
      <c r="R3" s="74" t="str">
        <f>_xll.qlFixedRateBond(S3,T3,U3,V3,W3,X3,Y3,Z3,AA3,AB3,AC3,AD3)</f>
        <v>FixedBond_EsempioBTP#0000</v>
      </c>
      <c r="S3" t="s">
        <v>635</v>
      </c>
      <c r="U3" t="s">
        <v>611</v>
      </c>
      <c r="V3">
        <v>2</v>
      </c>
      <c r="W3">
        <v>100</v>
      </c>
      <c r="X3" t="str">
        <f>+C3</f>
        <v>esempio BTP#0000</v>
      </c>
      <c r="Y3" s="73">
        <v>4.7500000000000001E-2</v>
      </c>
      <c r="Z3" t="s">
        <v>636</v>
      </c>
      <c r="AA3" t="s">
        <v>637</v>
      </c>
      <c r="AB3">
        <v>100</v>
      </c>
      <c r="AD3" t="s">
        <v>157</v>
      </c>
      <c r="AH3" s="75" t="str">
        <f>_xll.qlBondEngine(AI3,AJ3)</f>
        <v>FIxedRateBondEngine#0000</v>
      </c>
      <c r="AI3" t="s">
        <v>643</v>
      </c>
      <c r="AJ3" t="str">
        <f>+'6.Piecewise_YieldCurve_ITL'!B2</f>
        <v>CurvaGovernativaItalia#0000</v>
      </c>
      <c r="AN3" s="76" t="b">
        <f>_xll.qlInstrumentSetPricingEngine(AO3,AP3)</f>
        <v>1</v>
      </c>
      <c r="AO3" t="str">
        <f>+R3</f>
        <v>FixedBond_EsempioBTP#0000</v>
      </c>
      <c r="AP3" t="str">
        <f>+AH3</f>
        <v>FIxedRateBondEngine#0000</v>
      </c>
      <c r="AR3" s="77">
        <f>_xll.qlBondCleanPrice(R3,AN3)</f>
        <v>119.64456767461024</v>
      </c>
      <c r="AU3" s="78">
        <f>_xll.qlBondAccruedAmount(R3)</f>
        <v>5.2054794520550729E-2</v>
      </c>
      <c r="AV3">
        <f>_xll.qlBondAccrualDays(R3)</f>
        <v>158</v>
      </c>
      <c r="AW3" s="10">
        <f>_xll.qlBondAccrualEndDate($R$3)</f>
        <v>42948</v>
      </c>
      <c r="AX3">
        <f>_xll.qlBondAccruedDays(R3)</f>
        <v>4</v>
      </c>
      <c r="AY3" s="10">
        <f>_xll.qlBondAccrualStartDate($R$3)</f>
        <v>42790</v>
      </c>
      <c r="AZ3" s="79">
        <f>_xll.qlBondAccruedPeriod($R$3)</f>
        <v>1.0958904109589107E-2</v>
      </c>
      <c r="BA3" s="13">
        <f>_xll.qlBondBpsFromYieldTermStructure(R3,'6.Piecewise_YieldCurve_ITL'!B2)</f>
        <v>6.2301498383419827E-2</v>
      </c>
      <c r="BB3" s="13">
        <f>_xll.qlBondCleanPriceFromYieldTermStructure(R3,'6.Piecewise_YieldCurve_ITL'!$B$2)</f>
        <v>119.64456767461024</v>
      </c>
    </row>
    <row r="4" spans="1:54" x14ac:dyDescent="0.25">
      <c r="A4" t="s">
        <v>546</v>
      </c>
    </row>
    <row r="5" spans="1:54" x14ac:dyDescent="0.25">
      <c r="A5" t="s">
        <v>109</v>
      </c>
    </row>
    <row r="6" spans="1:54" x14ac:dyDescent="0.25">
      <c r="A6" t="s">
        <v>547</v>
      </c>
    </row>
    <row r="7" spans="1:54" x14ac:dyDescent="0.25">
      <c r="A7" t="s">
        <v>548</v>
      </c>
    </row>
    <row r="8" spans="1:54" x14ac:dyDescent="0.25">
      <c r="A8" t="s">
        <v>135</v>
      </c>
    </row>
    <row r="9" spans="1:54" x14ac:dyDescent="0.25">
      <c r="A9" t="s">
        <v>137</v>
      </c>
      <c r="AR9" s="10"/>
      <c r="AU9" s="10"/>
    </row>
    <row r="10" spans="1:54" x14ac:dyDescent="0.25">
      <c r="A10" t="s">
        <v>138</v>
      </c>
      <c r="AU10" s="79"/>
    </row>
    <row r="11" spans="1:54" x14ac:dyDescent="0.25">
      <c r="A11" t="s">
        <v>549</v>
      </c>
      <c r="AR11" s="10"/>
      <c r="BA11" s="53"/>
    </row>
    <row r="12" spans="1:54" x14ac:dyDescent="0.25">
      <c r="A12" t="s">
        <v>550</v>
      </c>
      <c r="AU12" s="79"/>
    </row>
    <row r="13" spans="1:54" x14ac:dyDescent="0.25">
      <c r="A13" t="s">
        <v>139</v>
      </c>
      <c r="AU13" s="80"/>
      <c r="AV13" s="80"/>
    </row>
    <row r="14" spans="1:54" x14ac:dyDescent="0.25">
      <c r="A14" t="s">
        <v>551</v>
      </c>
    </row>
    <row r="15" spans="1:54" x14ac:dyDescent="0.25">
      <c r="A15" t="s">
        <v>552</v>
      </c>
    </row>
    <row r="16" spans="1:54" x14ac:dyDescent="0.25">
      <c r="A16" t="s">
        <v>111</v>
      </c>
      <c r="AU16" s="80"/>
    </row>
    <row r="17" spans="1:2" x14ac:dyDescent="0.25">
      <c r="A17" t="s">
        <v>112</v>
      </c>
    </row>
    <row r="18" spans="1:2" x14ac:dyDescent="0.25">
      <c r="A18" t="s">
        <v>113</v>
      </c>
    </row>
    <row r="20" spans="1:2" x14ac:dyDescent="0.25">
      <c r="A20" t="s">
        <v>114</v>
      </c>
    </row>
    <row r="22" spans="1:2" x14ac:dyDescent="0.25">
      <c r="A22" t="s">
        <v>553</v>
      </c>
    </row>
    <row r="24" spans="1:2" x14ac:dyDescent="0.25">
      <c r="A24" t="s">
        <v>116</v>
      </c>
    </row>
    <row r="26" spans="1:2" x14ac:dyDescent="0.25">
      <c r="A26" t="s">
        <v>117</v>
      </c>
    </row>
    <row r="28" spans="1:2" x14ac:dyDescent="0.25">
      <c r="A28" t="s">
        <v>118</v>
      </c>
    </row>
    <row r="29" spans="1:2" x14ac:dyDescent="0.25">
      <c r="A29" s="14" t="s">
        <v>119</v>
      </c>
      <c r="B29" s="14" t="s">
        <v>120</v>
      </c>
    </row>
    <row r="30" spans="1:2" ht="30" x14ac:dyDescent="0.25">
      <c r="A30" s="14" t="s">
        <v>554</v>
      </c>
      <c r="B30" s="14" t="s">
        <v>555</v>
      </c>
    </row>
    <row r="31" spans="1:2" x14ac:dyDescent="0.25">
      <c r="A31" s="14" t="s">
        <v>556</v>
      </c>
      <c r="B31" s="14" t="s">
        <v>557</v>
      </c>
    </row>
    <row r="32" spans="1:2" ht="45" x14ac:dyDescent="0.25">
      <c r="A32" s="14" t="s">
        <v>144</v>
      </c>
      <c r="B32" s="14" t="s">
        <v>558</v>
      </c>
    </row>
    <row r="33" spans="1:2" ht="30" x14ac:dyDescent="0.25">
      <c r="A33" s="14" t="s">
        <v>148</v>
      </c>
      <c r="B33" s="14" t="s">
        <v>559</v>
      </c>
    </row>
    <row r="34" spans="1:2" ht="45" x14ac:dyDescent="0.25">
      <c r="A34" s="14" t="s">
        <v>150</v>
      </c>
      <c r="B34" s="14" t="s">
        <v>560</v>
      </c>
    </row>
    <row r="35" spans="1:2" ht="45" x14ac:dyDescent="0.25">
      <c r="A35" s="14" t="s">
        <v>561</v>
      </c>
      <c r="B35" s="14" t="s">
        <v>562</v>
      </c>
    </row>
    <row r="36" spans="1:2" ht="60" x14ac:dyDescent="0.25">
      <c r="A36" s="14" t="s">
        <v>563</v>
      </c>
      <c r="B36" s="14" t="s">
        <v>564</v>
      </c>
    </row>
    <row r="37" spans="1:2" ht="45" x14ac:dyDescent="0.25">
      <c r="A37" s="14" t="s">
        <v>152</v>
      </c>
      <c r="B37" s="14" t="s">
        <v>565</v>
      </c>
    </row>
    <row r="38" spans="1:2" ht="45" x14ac:dyDescent="0.25">
      <c r="A38" s="14" t="s">
        <v>566</v>
      </c>
      <c r="B38" s="14" t="s">
        <v>567</v>
      </c>
    </row>
    <row r="39" spans="1:2" ht="45" x14ac:dyDescent="0.25">
      <c r="A39" s="14" t="s">
        <v>568</v>
      </c>
      <c r="B39" s="14" t="s">
        <v>569</v>
      </c>
    </row>
    <row r="40" spans="1:2" ht="30" x14ac:dyDescent="0.25">
      <c r="A40" s="14" t="s">
        <v>123</v>
      </c>
      <c r="B40" s="14" t="s">
        <v>124</v>
      </c>
    </row>
    <row r="41" spans="1:2" x14ac:dyDescent="0.25">
      <c r="A41" s="14" t="s">
        <v>125</v>
      </c>
      <c r="B41" s="14" t="s">
        <v>126</v>
      </c>
    </row>
    <row r="42" spans="1:2" x14ac:dyDescent="0.25">
      <c r="A42" s="14" t="s">
        <v>127</v>
      </c>
      <c r="B42" s="14" t="s">
        <v>128</v>
      </c>
    </row>
    <row r="47" spans="1:2" x14ac:dyDescent="0.25">
      <c r="A47" s="13" t="s">
        <v>577</v>
      </c>
    </row>
    <row r="49" spans="1:1" x14ac:dyDescent="0.25">
      <c r="A49" t="s">
        <v>107</v>
      </c>
    </row>
    <row r="50" spans="1:1" x14ac:dyDescent="0.25">
      <c r="A50" t="s">
        <v>578</v>
      </c>
    </row>
    <row r="51" spans="1:1" x14ac:dyDescent="0.25">
      <c r="A51" t="s">
        <v>109</v>
      </c>
    </row>
    <row r="52" spans="1:1" x14ac:dyDescent="0.25">
      <c r="A52" t="s">
        <v>579</v>
      </c>
    </row>
    <row r="53" spans="1:1" x14ac:dyDescent="0.25">
      <c r="A53" t="s">
        <v>580</v>
      </c>
    </row>
    <row r="54" spans="1:1" x14ac:dyDescent="0.25">
      <c r="A54" t="s">
        <v>581</v>
      </c>
    </row>
    <row r="55" spans="1:1" x14ac:dyDescent="0.25">
      <c r="A55" t="s">
        <v>582</v>
      </c>
    </row>
    <row r="56" spans="1:1" x14ac:dyDescent="0.25">
      <c r="A56" t="s">
        <v>583</v>
      </c>
    </row>
    <row r="57" spans="1:1" x14ac:dyDescent="0.25">
      <c r="A57" t="s">
        <v>584</v>
      </c>
    </row>
    <row r="58" spans="1:1" x14ac:dyDescent="0.25">
      <c r="A58" t="s">
        <v>140</v>
      </c>
    </row>
    <row r="59" spans="1:1" x14ac:dyDescent="0.25">
      <c r="A59" t="s">
        <v>585</v>
      </c>
    </row>
    <row r="60" spans="1:1" x14ac:dyDescent="0.25">
      <c r="A60" t="s">
        <v>586</v>
      </c>
    </row>
    <row r="61" spans="1:1" x14ac:dyDescent="0.25">
      <c r="A61" t="s">
        <v>587</v>
      </c>
    </row>
    <row r="62" spans="1:1" x14ac:dyDescent="0.25">
      <c r="A62" t="s">
        <v>588</v>
      </c>
    </row>
    <row r="63" spans="1:1" x14ac:dyDescent="0.25">
      <c r="A63" t="s">
        <v>111</v>
      </c>
    </row>
    <row r="64" spans="1:1" x14ac:dyDescent="0.25">
      <c r="A64" t="s">
        <v>112</v>
      </c>
    </row>
    <row r="65" spans="1:2" x14ac:dyDescent="0.25">
      <c r="A65" t="s">
        <v>113</v>
      </c>
    </row>
    <row r="67" spans="1:2" x14ac:dyDescent="0.25">
      <c r="A67" t="s">
        <v>114</v>
      </c>
    </row>
    <row r="69" spans="1:2" x14ac:dyDescent="0.25">
      <c r="A69" t="s">
        <v>589</v>
      </c>
    </row>
    <row r="71" spans="1:2" x14ac:dyDescent="0.25">
      <c r="A71" t="s">
        <v>116</v>
      </c>
    </row>
    <row r="73" spans="1:2" x14ac:dyDescent="0.25">
      <c r="A73" t="s">
        <v>117</v>
      </c>
    </row>
    <row r="75" spans="1:2" x14ac:dyDescent="0.25">
      <c r="A75" t="s">
        <v>118</v>
      </c>
    </row>
    <row r="76" spans="1:2" x14ac:dyDescent="0.25">
      <c r="A76" s="14" t="s">
        <v>119</v>
      </c>
      <c r="B76" s="14" t="s">
        <v>120</v>
      </c>
    </row>
    <row r="77" spans="1:2" ht="45" x14ac:dyDescent="0.25">
      <c r="A77" s="14" t="s">
        <v>0</v>
      </c>
      <c r="B77" s="14" t="s">
        <v>590</v>
      </c>
    </row>
    <row r="78" spans="1:2" x14ac:dyDescent="0.25">
      <c r="A78" s="14" t="s">
        <v>591</v>
      </c>
      <c r="B78" s="14" t="s">
        <v>592</v>
      </c>
    </row>
    <row r="79" spans="1:2" x14ac:dyDescent="0.25">
      <c r="A79" s="14" t="s">
        <v>593</v>
      </c>
      <c r="B79" s="14" t="s">
        <v>594</v>
      </c>
    </row>
    <row r="80" spans="1:2" ht="30" x14ac:dyDescent="0.25">
      <c r="A80" s="14" t="s">
        <v>595</v>
      </c>
      <c r="B80" s="14" t="s">
        <v>596</v>
      </c>
    </row>
    <row r="81" spans="1:2" x14ac:dyDescent="0.25">
      <c r="A81" s="14" t="s">
        <v>597</v>
      </c>
      <c r="B81" s="14" t="s">
        <v>598</v>
      </c>
    </row>
    <row r="82" spans="1:2" ht="30" x14ac:dyDescent="0.25">
      <c r="A82" s="14" t="s">
        <v>599</v>
      </c>
      <c r="B82" s="14" t="s">
        <v>600</v>
      </c>
    </row>
    <row r="83" spans="1:2" x14ac:dyDescent="0.25">
      <c r="A83" s="14" t="s">
        <v>154</v>
      </c>
      <c r="B83" s="14" t="s">
        <v>601</v>
      </c>
    </row>
    <row r="84" spans="1:2" ht="45" x14ac:dyDescent="0.25">
      <c r="A84" s="14" t="s">
        <v>602</v>
      </c>
      <c r="B84" s="14" t="s">
        <v>603</v>
      </c>
    </row>
    <row r="85" spans="1:2" ht="30" x14ac:dyDescent="0.25">
      <c r="A85" s="14" t="s">
        <v>604</v>
      </c>
      <c r="B85" s="14" t="s">
        <v>605</v>
      </c>
    </row>
    <row r="86" spans="1:2" ht="45" x14ac:dyDescent="0.25">
      <c r="A86" s="14" t="s">
        <v>606</v>
      </c>
      <c r="B86" s="14" t="s">
        <v>607</v>
      </c>
    </row>
    <row r="87" spans="1:2" ht="30" x14ac:dyDescent="0.25">
      <c r="A87" s="14" t="s">
        <v>608</v>
      </c>
      <c r="B87" s="14" t="s">
        <v>609</v>
      </c>
    </row>
    <row r="88" spans="1:2" ht="30" x14ac:dyDescent="0.25">
      <c r="A88" s="14" t="s">
        <v>123</v>
      </c>
      <c r="B88" s="14" t="s">
        <v>124</v>
      </c>
    </row>
    <row r="89" spans="1:2" x14ac:dyDescent="0.25">
      <c r="A89" s="14" t="s">
        <v>125</v>
      </c>
      <c r="B89" s="14" t="s">
        <v>126</v>
      </c>
    </row>
    <row r="90" spans="1:2" x14ac:dyDescent="0.25">
      <c r="A90" s="14" t="s">
        <v>127</v>
      </c>
      <c r="B90" s="14" t="s">
        <v>128</v>
      </c>
    </row>
    <row r="92" spans="1:2" x14ac:dyDescent="0.25">
      <c r="A92" s="13" t="s">
        <v>638</v>
      </c>
    </row>
    <row r="94" spans="1:2" x14ac:dyDescent="0.25">
      <c r="A94" t="s">
        <v>107</v>
      </c>
    </row>
    <row r="95" spans="1:2" x14ac:dyDescent="0.25">
      <c r="A95" t="s">
        <v>639</v>
      </c>
    </row>
    <row r="96" spans="1:2" x14ac:dyDescent="0.25">
      <c r="A96" t="s">
        <v>109</v>
      </c>
    </row>
    <row r="97" spans="1:2" x14ac:dyDescent="0.25">
      <c r="A97" t="s">
        <v>110</v>
      </c>
    </row>
    <row r="98" spans="1:2" x14ac:dyDescent="0.25">
      <c r="A98" t="s">
        <v>111</v>
      </c>
    </row>
    <row r="99" spans="1:2" x14ac:dyDescent="0.25">
      <c r="A99" t="s">
        <v>112</v>
      </c>
    </row>
    <row r="100" spans="1:2" x14ac:dyDescent="0.25">
      <c r="A100" t="s">
        <v>113</v>
      </c>
    </row>
    <row r="102" spans="1:2" x14ac:dyDescent="0.25">
      <c r="A102" t="s">
        <v>114</v>
      </c>
    </row>
    <row r="104" spans="1:2" x14ac:dyDescent="0.25">
      <c r="A104" t="s">
        <v>640</v>
      </c>
    </row>
    <row r="106" spans="1:2" x14ac:dyDescent="0.25">
      <c r="A106" t="s">
        <v>116</v>
      </c>
    </row>
    <row r="108" spans="1:2" x14ac:dyDescent="0.25">
      <c r="A108" t="s">
        <v>117</v>
      </c>
    </row>
    <row r="110" spans="1:2" x14ac:dyDescent="0.25">
      <c r="A110" t="s">
        <v>118</v>
      </c>
    </row>
    <row r="111" spans="1:2" x14ac:dyDescent="0.25">
      <c r="A111" s="14" t="s">
        <v>119</v>
      </c>
      <c r="B111" s="14" t="s">
        <v>120</v>
      </c>
    </row>
    <row r="112" spans="1:2" ht="30" x14ac:dyDescent="0.25">
      <c r="A112" s="14" t="s">
        <v>121</v>
      </c>
      <c r="B112" s="14" t="s">
        <v>641</v>
      </c>
    </row>
    <row r="113" spans="1:2" ht="30" x14ac:dyDescent="0.25">
      <c r="A113" s="14" t="s">
        <v>123</v>
      </c>
      <c r="B113" s="14" t="s">
        <v>124</v>
      </c>
    </row>
    <row r="114" spans="1:2" x14ac:dyDescent="0.25">
      <c r="A114" s="14" t="s">
        <v>125</v>
      </c>
      <c r="B114" s="14" t="s">
        <v>126</v>
      </c>
    </row>
    <row r="115" spans="1:2" x14ac:dyDescent="0.25">
      <c r="A115" s="14" t="s">
        <v>127</v>
      </c>
      <c r="B115" s="14" t="s">
        <v>128</v>
      </c>
    </row>
    <row r="119" spans="1:2" x14ac:dyDescent="0.25">
      <c r="A119" s="13" t="s">
        <v>644</v>
      </c>
    </row>
    <row r="121" spans="1:2" x14ac:dyDescent="0.25">
      <c r="A121" t="s">
        <v>645</v>
      </c>
    </row>
    <row r="122" spans="1:2" x14ac:dyDescent="0.25">
      <c r="A122" t="s">
        <v>646</v>
      </c>
    </row>
    <row r="123" spans="1:2" x14ac:dyDescent="0.25">
      <c r="A123" t="s">
        <v>109</v>
      </c>
    </row>
    <row r="124" spans="1:2" x14ac:dyDescent="0.25">
      <c r="A124" t="s">
        <v>647</v>
      </c>
    </row>
    <row r="125" spans="1:2" x14ac:dyDescent="0.25">
      <c r="A125" t="s">
        <v>226</v>
      </c>
    </row>
    <row r="127" spans="1:2" x14ac:dyDescent="0.25">
      <c r="A127" t="s">
        <v>114</v>
      </c>
    </row>
    <row r="129" spans="1:2" x14ac:dyDescent="0.25">
      <c r="A129" t="s">
        <v>648</v>
      </c>
    </row>
    <row r="131" spans="1:2" x14ac:dyDescent="0.25">
      <c r="A131" t="s">
        <v>116</v>
      </c>
    </row>
    <row r="133" spans="1:2" x14ac:dyDescent="0.25">
      <c r="A133" t="s">
        <v>117</v>
      </c>
    </row>
    <row r="135" spans="1:2" x14ac:dyDescent="0.25">
      <c r="A135" t="s">
        <v>118</v>
      </c>
    </row>
    <row r="136" spans="1:2" ht="45" x14ac:dyDescent="0.25">
      <c r="A136" s="14" t="s">
        <v>119</v>
      </c>
      <c r="B136" s="14" t="s">
        <v>649</v>
      </c>
    </row>
    <row r="137" spans="1:2" x14ac:dyDescent="0.25">
      <c r="A137" s="14" t="s">
        <v>650</v>
      </c>
      <c r="B137" s="14" t="s">
        <v>651</v>
      </c>
    </row>
    <row r="138" spans="1:2" x14ac:dyDescent="0.25">
      <c r="A138" s="14" t="s">
        <v>125</v>
      </c>
      <c r="B138" s="14" t="s">
        <v>126</v>
      </c>
    </row>
    <row r="143" spans="1:2" x14ac:dyDescent="0.25">
      <c r="A143" s="13" t="s">
        <v>653</v>
      </c>
    </row>
    <row r="145" spans="1:2" x14ac:dyDescent="0.25">
      <c r="A145" t="s">
        <v>654</v>
      </c>
    </row>
    <row r="146" spans="1:2" x14ac:dyDescent="0.25">
      <c r="A146" t="s">
        <v>655</v>
      </c>
    </row>
    <row r="147" spans="1:2" x14ac:dyDescent="0.25">
      <c r="A147" t="s">
        <v>109</v>
      </c>
    </row>
    <row r="148" spans="1:2" x14ac:dyDescent="0.25">
      <c r="A148" t="s">
        <v>226</v>
      </c>
    </row>
    <row r="150" spans="1:2" x14ac:dyDescent="0.25">
      <c r="A150" t="s">
        <v>114</v>
      </c>
    </row>
    <row r="152" spans="1:2" x14ac:dyDescent="0.25">
      <c r="A152" t="s">
        <v>656</v>
      </c>
    </row>
    <row r="154" spans="1:2" x14ac:dyDescent="0.25">
      <c r="A154" t="s">
        <v>116</v>
      </c>
    </row>
    <row r="156" spans="1:2" x14ac:dyDescent="0.25">
      <c r="A156" t="s">
        <v>285</v>
      </c>
    </row>
    <row r="158" spans="1:2" x14ac:dyDescent="0.25">
      <c r="A158" t="s">
        <v>118</v>
      </c>
    </row>
    <row r="159" spans="1:2" ht="30" x14ac:dyDescent="0.25">
      <c r="A159" s="14" t="s">
        <v>119</v>
      </c>
      <c r="B159" s="14" t="s">
        <v>657</v>
      </c>
    </row>
    <row r="160" spans="1:2" x14ac:dyDescent="0.25">
      <c r="A160" s="14" t="s">
        <v>125</v>
      </c>
      <c r="B160" s="14" t="s">
        <v>126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Right="0"/>
  </sheetPr>
  <dimension ref="A1:BX142"/>
  <sheetViews>
    <sheetView tabSelected="1" topLeftCell="AM1" workbookViewId="0">
      <selection activeCell="BS17" sqref="BS17"/>
    </sheetView>
  </sheetViews>
  <sheetFormatPr defaultRowHeight="15" outlineLevelCol="1" x14ac:dyDescent="0.25"/>
  <cols>
    <col min="1" max="1" width="29.28515625" customWidth="1"/>
    <col min="2" max="2" width="40.140625" customWidth="1"/>
    <col min="3" max="3" width="23.140625" customWidth="1" collapsed="1"/>
    <col min="4" max="4" width="23.5703125" hidden="1" customWidth="1" outlineLevel="1"/>
    <col min="5" max="5" width="44.5703125" hidden="1" customWidth="1" outlineLevel="1"/>
    <col min="6" max="6" width="16.7109375" hidden="1" customWidth="1" outlineLevel="1"/>
    <col min="7" max="12" width="9.140625" hidden="1" customWidth="1" outlineLevel="1"/>
    <col min="13" max="17" width="9.140625" hidden="1" customWidth="1"/>
    <col min="18" max="18" width="22.7109375" bestFit="1" customWidth="1"/>
    <col min="19" max="38" width="9.140625" hidden="1" customWidth="1"/>
    <col min="39" max="39" width="19.140625" bestFit="1" customWidth="1" collapsed="1"/>
    <col min="40" max="40" width="14" hidden="1" customWidth="1" outlineLevel="1"/>
    <col min="41" max="41" width="8.85546875" hidden="1" customWidth="1" outlineLevel="1"/>
    <col min="42" max="42" width="10.7109375" hidden="1" customWidth="1" outlineLevel="1"/>
    <col min="43" max="43" width="8.42578125" hidden="1" customWidth="1" outlineLevel="1"/>
    <col min="44" max="44" width="15.85546875" hidden="1" customWidth="1" outlineLevel="1"/>
    <col min="45" max="48" width="9" hidden="1" customWidth="1" outlineLevel="1"/>
    <col min="49" max="49" width="8.85546875" hidden="1" customWidth="1" outlineLevel="1"/>
    <col min="50" max="50" width="18.42578125" customWidth="1"/>
    <col min="51" max="57" width="9.140625" customWidth="1" outlineLevel="1"/>
    <col min="58" max="58" width="17.85546875" customWidth="1" collapsed="1"/>
    <col min="59" max="63" width="0" hidden="1" customWidth="1" outlineLevel="1"/>
    <col min="64" max="64" width="18.85546875" customWidth="1" collapsed="1"/>
    <col min="65" max="70" width="0" hidden="1" customWidth="1" outlineLevel="1"/>
    <col min="71" max="71" width="9.7109375" bestFit="1" customWidth="1"/>
    <col min="72" max="72" width="14.42578125" customWidth="1"/>
    <col min="73" max="73" width="16" customWidth="1"/>
    <col min="74" max="74" width="27.140625" customWidth="1"/>
    <col min="75" max="75" width="28.85546875" customWidth="1"/>
  </cols>
  <sheetData>
    <row r="1" spans="1:76" ht="30" x14ac:dyDescent="0.25">
      <c r="A1" s="13" t="s">
        <v>668</v>
      </c>
      <c r="C1" s="72" t="s">
        <v>634</v>
      </c>
      <c r="D1" t="s">
        <v>119</v>
      </c>
      <c r="E1" t="s">
        <v>554</v>
      </c>
      <c r="F1" t="s">
        <v>556</v>
      </c>
      <c r="G1" t="s">
        <v>144</v>
      </c>
      <c r="H1" t="s">
        <v>148</v>
      </c>
      <c r="I1" t="s">
        <v>150</v>
      </c>
      <c r="J1" t="s">
        <v>561</v>
      </c>
      <c r="K1" t="s">
        <v>563</v>
      </c>
      <c r="L1" t="s">
        <v>152</v>
      </c>
      <c r="M1" t="s">
        <v>566</v>
      </c>
      <c r="N1" t="s">
        <v>568</v>
      </c>
      <c r="O1" t="s">
        <v>123</v>
      </c>
      <c r="P1" t="s">
        <v>125</v>
      </c>
      <c r="Q1" t="s">
        <v>127</v>
      </c>
      <c r="R1" s="74" t="s">
        <v>667</v>
      </c>
      <c r="S1" t="s">
        <v>119</v>
      </c>
      <c r="T1" t="s">
        <v>0</v>
      </c>
      <c r="U1" t="s">
        <v>591</v>
      </c>
      <c r="V1" t="s">
        <v>593</v>
      </c>
      <c r="W1" t="s">
        <v>602</v>
      </c>
      <c r="X1" t="s">
        <v>595</v>
      </c>
      <c r="Y1" t="s">
        <v>597</v>
      </c>
      <c r="Z1" t="s">
        <v>146</v>
      </c>
      <c r="AA1" t="s">
        <v>677</v>
      </c>
      <c r="AB1" t="s">
        <v>154</v>
      </c>
      <c r="AC1" t="s">
        <v>679</v>
      </c>
      <c r="AD1" t="s">
        <v>681</v>
      </c>
      <c r="AE1" t="s">
        <v>456</v>
      </c>
      <c r="AF1" t="s">
        <v>684</v>
      </c>
      <c r="AG1" t="s">
        <v>686</v>
      </c>
      <c r="AH1" t="s">
        <v>604</v>
      </c>
      <c r="AI1" t="s">
        <v>606</v>
      </c>
      <c r="AJ1" t="s">
        <v>123</v>
      </c>
      <c r="AK1" t="s">
        <v>125</v>
      </c>
      <c r="AL1" t="s">
        <v>127</v>
      </c>
      <c r="AM1" s="81" t="s">
        <v>724</v>
      </c>
      <c r="AN1" s="14" t="s">
        <v>119</v>
      </c>
      <c r="AO1" s="14" t="s">
        <v>0</v>
      </c>
      <c r="AP1" s="14" t="s">
        <v>717</v>
      </c>
      <c r="AQ1" s="14" t="s">
        <v>458</v>
      </c>
      <c r="AR1" s="14" t="s">
        <v>720</v>
      </c>
      <c r="AS1" s="14" t="s">
        <v>722</v>
      </c>
      <c r="AT1" s="14" t="s">
        <v>606</v>
      </c>
      <c r="AU1" s="14" t="s">
        <v>123</v>
      </c>
      <c r="AV1" s="14" t="s">
        <v>125</v>
      </c>
      <c r="AW1" s="14" t="s">
        <v>127</v>
      </c>
      <c r="AX1" s="83" t="s">
        <v>728</v>
      </c>
      <c r="AY1" s="83" t="s">
        <v>274</v>
      </c>
      <c r="AZ1" s="83" t="s">
        <v>130</v>
      </c>
      <c r="BA1" s="83" t="s">
        <v>704</v>
      </c>
      <c r="BB1" s="83" t="s">
        <v>148</v>
      </c>
      <c r="BC1" s="83" t="s">
        <v>154</v>
      </c>
      <c r="BD1" s="83" t="s">
        <v>123</v>
      </c>
      <c r="BE1" s="83" t="s">
        <v>125</v>
      </c>
      <c r="BF1" s="89" t="s">
        <v>729</v>
      </c>
      <c r="BG1" t="s">
        <v>274</v>
      </c>
      <c r="BH1" t="s">
        <v>130</v>
      </c>
      <c r="BI1" t="s">
        <v>121</v>
      </c>
      <c r="BJ1" t="s">
        <v>123</v>
      </c>
      <c r="BK1" t="s">
        <v>125</v>
      </c>
      <c r="BL1" s="90" t="s">
        <v>730</v>
      </c>
      <c r="BM1" s="90" t="s">
        <v>274</v>
      </c>
      <c r="BN1" s="90" t="s">
        <v>130</v>
      </c>
      <c r="BO1" s="90" t="s">
        <v>704</v>
      </c>
      <c r="BP1" s="90" t="s">
        <v>706</v>
      </c>
      <c r="BQ1" s="90" t="s">
        <v>123</v>
      </c>
      <c r="BR1" s="90" t="s">
        <v>125</v>
      </c>
      <c r="BS1" s="91" t="s">
        <v>732</v>
      </c>
      <c r="BT1" s="91" t="s">
        <v>733</v>
      </c>
      <c r="BU1" s="90" t="s">
        <v>731</v>
      </c>
      <c r="BV1" s="90" t="s">
        <v>734</v>
      </c>
      <c r="BW1" s="90" t="s">
        <v>735</v>
      </c>
      <c r="BX1" s="97" t="s">
        <v>503</v>
      </c>
    </row>
    <row r="2" spans="1:76" ht="165" x14ac:dyDescent="0.25">
      <c r="C2" s="72"/>
      <c r="D2" t="s">
        <v>120</v>
      </c>
      <c r="E2" t="s">
        <v>555</v>
      </c>
      <c r="F2" t="s">
        <v>557</v>
      </c>
      <c r="G2" t="s">
        <v>558</v>
      </c>
      <c r="H2" t="s">
        <v>559</v>
      </c>
      <c r="I2" t="s">
        <v>560</v>
      </c>
      <c r="J2" t="s">
        <v>562</v>
      </c>
      <c r="K2" t="s">
        <v>564</v>
      </c>
      <c r="L2" t="s">
        <v>565</v>
      </c>
      <c r="M2" t="s">
        <v>567</v>
      </c>
      <c r="N2" t="s">
        <v>569</v>
      </c>
      <c r="O2" t="s">
        <v>124</v>
      </c>
      <c r="P2" t="s">
        <v>126</v>
      </c>
      <c r="Q2" t="s">
        <v>128</v>
      </c>
      <c r="R2" s="74"/>
      <c r="S2" t="s">
        <v>120</v>
      </c>
      <c r="T2" t="s">
        <v>590</v>
      </c>
      <c r="U2" t="s">
        <v>592</v>
      </c>
      <c r="V2" t="s">
        <v>594</v>
      </c>
      <c r="W2" t="s">
        <v>603</v>
      </c>
      <c r="X2" t="s">
        <v>596</v>
      </c>
      <c r="Y2" t="s">
        <v>598</v>
      </c>
      <c r="Z2" t="s">
        <v>676</v>
      </c>
      <c r="AA2" t="s">
        <v>678</v>
      </c>
      <c r="AB2" t="s">
        <v>601</v>
      </c>
      <c r="AC2" t="s">
        <v>680</v>
      </c>
      <c r="AD2" t="s">
        <v>682</v>
      </c>
      <c r="AE2" t="s">
        <v>683</v>
      </c>
      <c r="AF2" t="s">
        <v>685</v>
      </c>
      <c r="AG2" t="s">
        <v>687</v>
      </c>
      <c r="AH2" t="s">
        <v>688</v>
      </c>
      <c r="AI2" t="s">
        <v>607</v>
      </c>
      <c r="AJ2" t="s">
        <v>124</v>
      </c>
      <c r="AK2" t="s">
        <v>126</v>
      </c>
      <c r="AL2" t="s">
        <v>128</v>
      </c>
      <c r="AM2" s="82"/>
      <c r="AN2" s="14" t="s">
        <v>120</v>
      </c>
      <c r="AO2" s="14" t="s">
        <v>716</v>
      </c>
      <c r="AP2" s="14" t="s">
        <v>718</v>
      </c>
      <c r="AQ2" s="14" t="s">
        <v>719</v>
      </c>
      <c r="AR2" s="14" t="s">
        <v>721</v>
      </c>
      <c r="AS2" s="14" t="s">
        <v>723</v>
      </c>
      <c r="AT2" s="14" t="s">
        <v>607</v>
      </c>
      <c r="AU2" s="14" t="s">
        <v>124</v>
      </c>
      <c r="AV2" s="14" t="s">
        <v>126</v>
      </c>
      <c r="AW2" s="14" t="s">
        <v>128</v>
      </c>
      <c r="AX2" s="11"/>
      <c r="AY2" s="11"/>
      <c r="AZ2" s="11"/>
      <c r="BA2" s="11"/>
      <c r="BB2" s="11"/>
      <c r="BC2" s="11"/>
      <c r="BD2" s="11"/>
      <c r="BE2" s="11"/>
      <c r="BF2" s="89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</row>
    <row r="3" spans="1:76" ht="15.75" thickBot="1" x14ac:dyDescent="0.3">
      <c r="A3" t="s">
        <v>107</v>
      </c>
      <c r="C3" s="72" t="str">
        <f>_xll.qlSchedule(D3,E3,F3,G3,H3,I3,J3,K3,L3)</f>
        <v>esempio CCT#0000</v>
      </c>
      <c r="D3" t="s">
        <v>666</v>
      </c>
      <c r="E3" s="10">
        <f>'3.DataAnalisi'!A1</f>
        <v>42790</v>
      </c>
      <c r="F3" s="10">
        <f>DATE(2024,2,15)</f>
        <v>45337</v>
      </c>
      <c r="G3" t="s">
        <v>187</v>
      </c>
      <c r="H3" t="s">
        <v>157</v>
      </c>
      <c r="I3" t="s">
        <v>571</v>
      </c>
      <c r="J3" t="s">
        <v>571</v>
      </c>
      <c r="K3" t="s">
        <v>572</v>
      </c>
      <c r="L3" t="b">
        <v>0</v>
      </c>
      <c r="R3" s="74" t="str">
        <f>_xll.qlFloatingRateBond(S3,T3,U3,V3,W3,X3,Y3,Z3,AA3,AB3,AC3,AD3,AE3,AF3,AG3,AH3)</f>
        <v>Float esempio CCT#0000</v>
      </c>
      <c r="S3" t="s">
        <v>689</v>
      </c>
      <c r="U3" t="s">
        <v>611</v>
      </c>
      <c r="V3">
        <v>2</v>
      </c>
      <c r="W3" t="s">
        <v>637</v>
      </c>
      <c r="X3">
        <v>100</v>
      </c>
      <c r="Y3" t="str">
        <f>+C3</f>
        <v>esempio CCT#0000</v>
      </c>
      <c r="Z3">
        <v>2</v>
      </c>
      <c r="AA3" t="b">
        <v>1</v>
      </c>
      <c r="AB3" t="s">
        <v>23</v>
      </c>
      <c r="AC3" s="53">
        <v>0</v>
      </c>
      <c r="AD3">
        <v>1</v>
      </c>
      <c r="AE3" t="str">
        <f>'4.Index_EONIA&amp;Swap6M'!B12</f>
        <v>EUR SWAP 6M CCT Euro#0000</v>
      </c>
      <c r="AF3" s="73">
        <v>7.4999999999999997E-3</v>
      </c>
      <c r="AG3">
        <v>0</v>
      </c>
      <c r="AH3">
        <v>100</v>
      </c>
      <c r="AM3" s="82" t="str">
        <f>_xll.qlCCTEU(AN3,AO3,AP3,AQ3,AR3)</f>
        <v>esempio CCT 1#0000</v>
      </c>
      <c r="AN3" t="s">
        <v>725</v>
      </c>
      <c r="AP3" s="10">
        <f>DATE(2024,2,15)</f>
        <v>45337</v>
      </c>
      <c r="AQ3" s="73">
        <v>0.01</v>
      </c>
      <c r="AR3" t="str">
        <f>+'9.Piecewise_YieldCurve_SW6'!D2</f>
        <v>SW6_curve#0000</v>
      </c>
      <c r="AX3" s="84" t="str">
        <f>_xll.qlConstantOptionletVolatility(AZ3,0,BB3,"f",BA3,BC3,BD3,BE3)</f>
        <v>obj_00000#0000</v>
      </c>
      <c r="AY3" s="85" t="str">
        <f>_xll.ohRangeRetrieveError(AX3)</f>
        <v/>
      </c>
      <c r="AZ3" s="86"/>
      <c r="BA3" s="87">
        <v>0.2</v>
      </c>
      <c r="BB3" s="86" t="s">
        <v>157</v>
      </c>
      <c r="BC3" s="86"/>
      <c r="BD3" s="86"/>
      <c r="BE3" s="86"/>
      <c r="BF3" s="89" t="str">
        <f>_xll.qlBondEngine(BH3,BI3)</f>
        <v>obj_0007a#0000</v>
      </c>
      <c r="BG3" s="88" t="str">
        <f>_xll.ohRangeRetrieveError(BF3)</f>
        <v/>
      </c>
      <c r="BI3" t="str">
        <f>+'6.Piecewise_YieldCurve_ITL'!B2</f>
        <v>CurvaGovernativaItalia#0000</v>
      </c>
      <c r="BL3" s="92" t="str">
        <f>_xll.qlIborCouponPricer(BN3,BO3,BP3,BQ3,BR3)</f>
        <v>obj_00001#0000</v>
      </c>
      <c r="BM3" s="93" t="str">
        <f>_xll.ohRangeRetrieveError(BL3)</f>
        <v/>
      </c>
      <c r="BN3" s="94"/>
      <c r="BO3" s="94" t="str">
        <f>+AX3</f>
        <v>obj_00000#0000</v>
      </c>
      <c r="BP3" s="94" t="s">
        <v>727</v>
      </c>
      <c r="BQ3" s="94"/>
      <c r="BR3" s="94"/>
      <c r="BS3" s="95">
        <f>DATE(2017,2,15)</f>
        <v>42781</v>
      </c>
      <c r="BT3" s="96">
        <v>2E-3</v>
      </c>
      <c r="BU3" s="91" t="b">
        <f>_xll.qlIndexAddFixings('4.Index_EONIA&amp;Swap6M'!B12,BS3,BT3)</f>
        <v>1</v>
      </c>
      <c r="BV3" s="91" t="b">
        <f>_xll.qlBondSetCouponPricer(R3,BL3,BU3)</f>
        <v>1</v>
      </c>
      <c r="BW3" s="91" t="b">
        <f>_xll.qlInstrumentSetPricingEngine(R3,BF3,BV3)</f>
        <v>1</v>
      </c>
      <c r="BX3" s="100" t="e">
        <f>_xll.qlBondCleanPrice(R3,BW3)</f>
        <v>#NUM!</v>
      </c>
    </row>
    <row r="4" spans="1:76" x14ac:dyDescent="0.25">
      <c r="A4" t="s">
        <v>669</v>
      </c>
      <c r="BX4" t="e">
        <f ca="1">_xll.ohRangeRetrieveError(BX3)</f>
        <v>#NUM!</v>
      </c>
    </row>
    <row r="5" spans="1:76" x14ac:dyDescent="0.25">
      <c r="A5" t="s">
        <v>109</v>
      </c>
    </row>
    <row r="6" spans="1:76" x14ac:dyDescent="0.25">
      <c r="A6" t="s">
        <v>579</v>
      </c>
    </row>
    <row r="7" spans="1:76" x14ac:dyDescent="0.25">
      <c r="A7" t="s">
        <v>580</v>
      </c>
    </row>
    <row r="8" spans="1:76" x14ac:dyDescent="0.25">
      <c r="A8" t="s">
        <v>581</v>
      </c>
    </row>
    <row r="9" spans="1:76" x14ac:dyDescent="0.25">
      <c r="A9" t="s">
        <v>585</v>
      </c>
      <c r="C9" s="13" t="s">
        <v>708</v>
      </c>
    </row>
    <row r="10" spans="1:76" x14ac:dyDescent="0.25">
      <c r="A10" t="s">
        <v>582</v>
      </c>
      <c r="BM10" t="s">
        <v>726</v>
      </c>
      <c r="BN10" t="e">
        <f>_xll.qlIborCouponPricer(BN12,BN13,BN14,BN15,BN16)</f>
        <v>#NUM!</v>
      </c>
    </row>
    <row r="11" spans="1:76" x14ac:dyDescent="0.25">
      <c r="A11" t="s">
        <v>583</v>
      </c>
      <c r="C11" t="s">
        <v>107</v>
      </c>
      <c r="BM11" t="s">
        <v>274</v>
      </c>
      <c r="BN11" t="e">
        <f ca="1">_xll.ohRangeRetrieveError(BN10)</f>
        <v>#NUM!</v>
      </c>
    </row>
    <row r="12" spans="1:76" x14ac:dyDescent="0.25">
      <c r="A12" t="s">
        <v>136</v>
      </c>
      <c r="C12" t="s">
        <v>709</v>
      </c>
      <c r="BM12" t="s">
        <v>130</v>
      </c>
    </row>
    <row r="13" spans="1:76" x14ac:dyDescent="0.25">
      <c r="A13" t="s">
        <v>670</v>
      </c>
      <c r="C13" t="s">
        <v>109</v>
      </c>
      <c r="BM13" t="s">
        <v>704</v>
      </c>
      <c r="BN13">
        <f>[1]TermStructures!BT3</f>
        <v>0</v>
      </c>
    </row>
    <row r="14" spans="1:76" x14ac:dyDescent="0.25">
      <c r="A14" t="s">
        <v>140</v>
      </c>
      <c r="C14" t="s">
        <v>579</v>
      </c>
      <c r="BM14" t="s">
        <v>706</v>
      </c>
      <c r="BN14" t="s">
        <v>727</v>
      </c>
    </row>
    <row r="15" spans="1:76" x14ac:dyDescent="0.25">
      <c r="A15" t="s">
        <v>671</v>
      </c>
      <c r="C15" t="s">
        <v>710</v>
      </c>
      <c r="BM15" t="s">
        <v>123</v>
      </c>
    </row>
    <row r="16" spans="1:76" x14ac:dyDescent="0.25">
      <c r="A16" t="s">
        <v>672</v>
      </c>
      <c r="C16" t="s">
        <v>711</v>
      </c>
      <c r="BM16" t="s">
        <v>125</v>
      </c>
    </row>
    <row r="17" spans="1:59" x14ac:dyDescent="0.25">
      <c r="A17" t="s">
        <v>445</v>
      </c>
      <c r="C17" t="s">
        <v>712</v>
      </c>
    </row>
    <row r="18" spans="1:59" x14ac:dyDescent="0.25">
      <c r="A18" t="s">
        <v>673</v>
      </c>
      <c r="C18" t="s">
        <v>713</v>
      </c>
    </row>
    <row r="19" spans="1:59" x14ac:dyDescent="0.25">
      <c r="A19" t="s">
        <v>674</v>
      </c>
      <c r="C19" t="s">
        <v>587</v>
      </c>
    </row>
    <row r="20" spans="1:59" x14ac:dyDescent="0.25">
      <c r="A20" t="s">
        <v>586</v>
      </c>
      <c r="C20" t="s">
        <v>111</v>
      </c>
    </row>
    <row r="21" spans="1:59" x14ac:dyDescent="0.25">
      <c r="A21" t="s">
        <v>587</v>
      </c>
      <c r="C21" t="s">
        <v>112</v>
      </c>
    </row>
    <row r="22" spans="1:59" x14ac:dyDescent="0.25">
      <c r="A22" t="s">
        <v>111</v>
      </c>
      <c r="C22" t="s">
        <v>113</v>
      </c>
    </row>
    <row r="23" spans="1:59" x14ac:dyDescent="0.25">
      <c r="A23" t="s">
        <v>112</v>
      </c>
    </row>
    <row r="24" spans="1:59" x14ac:dyDescent="0.25">
      <c r="A24" t="s">
        <v>113</v>
      </c>
      <c r="C24" t="s">
        <v>114</v>
      </c>
    </row>
    <row r="26" spans="1:59" x14ac:dyDescent="0.25">
      <c r="A26" t="s">
        <v>114</v>
      </c>
      <c r="C26" t="s">
        <v>714</v>
      </c>
    </row>
    <row r="28" spans="1:59" x14ac:dyDescent="0.25">
      <c r="A28" t="s">
        <v>675</v>
      </c>
      <c r="C28" t="s">
        <v>116</v>
      </c>
    </row>
    <row r="30" spans="1:59" x14ac:dyDescent="0.25">
      <c r="A30" t="s">
        <v>116</v>
      </c>
      <c r="C30" t="s">
        <v>715</v>
      </c>
    </row>
    <row r="32" spans="1:59" x14ac:dyDescent="0.25">
      <c r="A32" t="s">
        <v>117</v>
      </c>
      <c r="C32" t="s">
        <v>118</v>
      </c>
    </row>
    <row r="33" spans="1:4" x14ac:dyDescent="0.25">
      <c r="C33" s="14" t="s">
        <v>119</v>
      </c>
      <c r="D33" s="14" t="s">
        <v>120</v>
      </c>
    </row>
    <row r="34" spans="1:4" ht="60" x14ac:dyDescent="0.25">
      <c r="A34" t="s">
        <v>118</v>
      </c>
      <c r="C34" s="14" t="s">
        <v>0</v>
      </c>
      <c r="D34" s="14" t="s">
        <v>716</v>
      </c>
    </row>
    <row r="35" spans="1:4" x14ac:dyDescent="0.25">
      <c r="A35" s="14" t="s">
        <v>119</v>
      </c>
      <c r="B35" s="14" t="s">
        <v>120</v>
      </c>
      <c r="C35" s="14" t="s">
        <v>717</v>
      </c>
      <c r="D35" s="14" t="s">
        <v>718</v>
      </c>
    </row>
    <row r="36" spans="1:4" ht="30" x14ac:dyDescent="0.25">
      <c r="A36" s="14" t="s">
        <v>0</v>
      </c>
      <c r="B36" s="14" t="s">
        <v>590</v>
      </c>
      <c r="C36" s="14" t="s">
        <v>458</v>
      </c>
      <c r="D36" s="14" t="s">
        <v>719</v>
      </c>
    </row>
    <row r="37" spans="1:4" ht="45" x14ac:dyDescent="0.25">
      <c r="A37" s="14" t="s">
        <v>591</v>
      </c>
      <c r="B37" s="14" t="s">
        <v>592</v>
      </c>
      <c r="C37" s="14" t="s">
        <v>720</v>
      </c>
      <c r="D37" s="14" t="s">
        <v>721</v>
      </c>
    </row>
    <row r="38" spans="1:4" ht="45" x14ac:dyDescent="0.25">
      <c r="A38" s="14" t="s">
        <v>593</v>
      </c>
      <c r="B38" s="14" t="s">
        <v>594</v>
      </c>
      <c r="C38" s="14" t="s">
        <v>722</v>
      </c>
      <c r="D38" s="14" t="s">
        <v>723</v>
      </c>
    </row>
    <row r="39" spans="1:4" ht="60" x14ac:dyDescent="0.25">
      <c r="A39" s="14" t="s">
        <v>602</v>
      </c>
      <c r="B39" s="14" t="s">
        <v>603</v>
      </c>
      <c r="C39" s="14" t="s">
        <v>606</v>
      </c>
      <c r="D39" s="14" t="s">
        <v>607</v>
      </c>
    </row>
    <row r="40" spans="1:4" ht="45" x14ac:dyDescent="0.25">
      <c r="A40" s="14" t="s">
        <v>595</v>
      </c>
      <c r="B40" s="14" t="s">
        <v>596</v>
      </c>
      <c r="C40" s="14" t="s">
        <v>123</v>
      </c>
      <c r="D40" s="14" t="s">
        <v>124</v>
      </c>
    </row>
    <row r="41" spans="1:4" ht="30" x14ac:dyDescent="0.25">
      <c r="A41" s="14" t="s">
        <v>597</v>
      </c>
      <c r="B41" s="14" t="s">
        <v>598</v>
      </c>
      <c r="C41" s="14" t="s">
        <v>125</v>
      </c>
      <c r="D41" s="14" t="s">
        <v>126</v>
      </c>
    </row>
    <row r="42" spans="1:4" ht="30" x14ac:dyDescent="0.25">
      <c r="A42" s="14" t="s">
        <v>146</v>
      </c>
      <c r="B42" s="14" t="s">
        <v>676</v>
      </c>
      <c r="C42" s="14" t="s">
        <v>127</v>
      </c>
      <c r="D42" s="14" t="s">
        <v>128</v>
      </c>
    </row>
    <row r="43" spans="1:4" ht="30" x14ac:dyDescent="0.25">
      <c r="A43" s="14" t="s">
        <v>677</v>
      </c>
      <c r="B43" s="14" t="s">
        <v>678</v>
      </c>
    </row>
    <row r="44" spans="1:4" x14ac:dyDescent="0.25">
      <c r="A44" s="14" t="s">
        <v>154</v>
      </c>
      <c r="B44" s="14" t="s">
        <v>601</v>
      </c>
    </row>
    <row r="45" spans="1:4" ht="30" x14ac:dyDescent="0.25">
      <c r="A45" s="14" t="s">
        <v>679</v>
      </c>
      <c r="B45" s="14" t="s">
        <v>680</v>
      </c>
    </row>
    <row r="46" spans="1:4" x14ac:dyDescent="0.25">
      <c r="A46" s="14" t="s">
        <v>681</v>
      </c>
      <c r="B46" s="14" t="s">
        <v>682</v>
      </c>
    </row>
    <row r="47" spans="1:4" x14ac:dyDescent="0.25">
      <c r="A47" s="14" t="s">
        <v>456</v>
      </c>
      <c r="B47" s="14" t="s">
        <v>683</v>
      </c>
    </row>
    <row r="48" spans="1:4" x14ac:dyDescent="0.25">
      <c r="A48" s="14" t="s">
        <v>684</v>
      </c>
      <c r="B48" s="14" t="s">
        <v>685</v>
      </c>
    </row>
    <row r="49" spans="1:2" ht="30" x14ac:dyDescent="0.25">
      <c r="A49" s="14" t="s">
        <v>686</v>
      </c>
      <c r="B49" s="14" t="s">
        <v>687</v>
      </c>
    </row>
    <row r="50" spans="1:2" x14ac:dyDescent="0.25">
      <c r="A50" s="14" t="s">
        <v>604</v>
      </c>
      <c r="B50" s="14" t="s">
        <v>688</v>
      </c>
    </row>
    <row r="51" spans="1:2" ht="30" x14ac:dyDescent="0.25">
      <c r="A51" s="14" t="s">
        <v>606</v>
      </c>
      <c r="B51" s="14" t="s">
        <v>607</v>
      </c>
    </row>
    <row r="52" spans="1:2" x14ac:dyDescent="0.25">
      <c r="A52" s="14" t="s">
        <v>123</v>
      </c>
      <c r="B52" s="14" t="s">
        <v>124</v>
      </c>
    </row>
    <row r="53" spans="1:2" x14ac:dyDescent="0.25">
      <c r="A53" s="14" t="s">
        <v>125</v>
      </c>
      <c r="B53" s="14" t="s">
        <v>126</v>
      </c>
    </row>
    <row r="54" spans="1:2" x14ac:dyDescent="0.25">
      <c r="A54" s="14" t="s">
        <v>127</v>
      </c>
      <c r="B54" s="14" t="s">
        <v>128</v>
      </c>
    </row>
    <row r="58" spans="1:2" x14ac:dyDescent="0.25">
      <c r="A58" s="13" t="s">
        <v>692</v>
      </c>
    </row>
    <row r="60" spans="1:2" x14ac:dyDescent="0.25">
      <c r="A60" t="s">
        <v>645</v>
      </c>
    </row>
    <row r="61" spans="1:2" x14ac:dyDescent="0.25">
      <c r="A61" t="s">
        <v>693</v>
      </c>
    </row>
    <row r="62" spans="1:2" x14ac:dyDescent="0.25">
      <c r="A62" t="s">
        <v>109</v>
      </c>
    </row>
    <row r="63" spans="1:2" x14ac:dyDescent="0.25">
      <c r="A63" t="s">
        <v>694</v>
      </c>
    </row>
    <row r="64" spans="1:2" x14ac:dyDescent="0.25">
      <c r="A64" t="s">
        <v>226</v>
      </c>
    </row>
    <row r="66" spans="1:2" x14ac:dyDescent="0.25">
      <c r="A66" t="s">
        <v>114</v>
      </c>
    </row>
    <row r="68" spans="1:2" x14ac:dyDescent="0.25">
      <c r="A68" t="s">
        <v>695</v>
      </c>
    </row>
    <row r="70" spans="1:2" x14ac:dyDescent="0.25">
      <c r="A70" t="s">
        <v>116</v>
      </c>
    </row>
    <row r="72" spans="1:2" x14ac:dyDescent="0.25">
      <c r="A72" t="s">
        <v>285</v>
      </c>
    </row>
    <row r="74" spans="1:2" x14ac:dyDescent="0.25">
      <c r="A74" t="s">
        <v>118</v>
      </c>
    </row>
    <row r="75" spans="1:2" x14ac:dyDescent="0.25">
      <c r="A75" s="14" t="s">
        <v>119</v>
      </c>
      <c r="B75" s="14" t="s">
        <v>696</v>
      </c>
    </row>
    <row r="76" spans="1:2" x14ac:dyDescent="0.25">
      <c r="A76" s="14" t="s">
        <v>697</v>
      </c>
      <c r="B76" s="14" t="s">
        <v>698</v>
      </c>
    </row>
    <row r="77" spans="1:2" x14ac:dyDescent="0.25">
      <c r="A77" s="14" t="s">
        <v>125</v>
      </c>
      <c r="B77" s="14" t="s">
        <v>126</v>
      </c>
    </row>
    <row r="80" spans="1:2" x14ac:dyDescent="0.25">
      <c r="A80" s="13" t="s">
        <v>699</v>
      </c>
    </row>
    <row r="82" spans="1:1" x14ac:dyDescent="0.25">
      <c r="A82" t="s">
        <v>107</v>
      </c>
    </row>
    <row r="83" spans="1:1" x14ac:dyDescent="0.25">
      <c r="A83" t="s">
        <v>700</v>
      </c>
    </row>
    <row r="84" spans="1:1" x14ac:dyDescent="0.25">
      <c r="A84" t="s">
        <v>109</v>
      </c>
    </row>
    <row r="85" spans="1:1" x14ac:dyDescent="0.25">
      <c r="A85" t="s">
        <v>701</v>
      </c>
    </row>
    <row r="86" spans="1:1" x14ac:dyDescent="0.25">
      <c r="A86" t="s">
        <v>702</v>
      </c>
    </row>
    <row r="87" spans="1:1" x14ac:dyDescent="0.25">
      <c r="A87" t="s">
        <v>111</v>
      </c>
    </row>
    <row r="88" spans="1:1" x14ac:dyDescent="0.25">
      <c r="A88" t="s">
        <v>112</v>
      </c>
    </row>
    <row r="89" spans="1:1" x14ac:dyDescent="0.25">
      <c r="A89" t="s">
        <v>113</v>
      </c>
    </row>
    <row r="91" spans="1:1" x14ac:dyDescent="0.25">
      <c r="A91" t="s">
        <v>114</v>
      </c>
    </row>
    <row r="93" spans="1:1" x14ac:dyDescent="0.25">
      <c r="A93" t="s">
        <v>703</v>
      </c>
    </row>
    <row r="95" spans="1:1" x14ac:dyDescent="0.25">
      <c r="A95" t="s">
        <v>116</v>
      </c>
    </row>
    <row r="97" spans="1:2" x14ac:dyDescent="0.25">
      <c r="A97" t="s">
        <v>117</v>
      </c>
    </row>
    <row r="99" spans="1:2" x14ac:dyDescent="0.25">
      <c r="A99" t="s">
        <v>118</v>
      </c>
    </row>
    <row r="100" spans="1:2" x14ac:dyDescent="0.25">
      <c r="A100" s="14" t="s">
        <v>119</v>
      </c>
      <c r="B100" s="14" t="s">
        <v>120</v>
      </c>
    </row>
    <row r="101" spans="1:2" x14ac:dyDescent="0.25">
      <c r="A101" s="14" t="s">
        <v>704</v>
      </c>
      <c r="B101" s="14" t="s">
        <v>705</v>
      </c>
    </row>
    <row r="102" spans="1:2" ht="30" x14ac:dyDescent="0.25">
      <c r="A102" s="14" t="s">
        <v>706</v>
      </c>
      <c r="B102" s="14" t="s">
        <v>707</v>
      </c>
    </row>
    <row r="103" spans="1:2" x14ac:dyDescent="0.25">
      <c r="A103" s="14" t="s">
        <v>123</v>
      </c>
      <c r="B103" s="14" t="s">
        <v>124</v>
      </c>
    </row>
    <row r="104" spans="1:2" x14ac:dyDescent="0.25">
      <c r="A104" s="14" t="s">
        <v>125</v>
      </c>
      <c r="B104" s="14" t="s">
        <v>126</v>
      </c>
    </row>
    <row r="105" spans="1:2" x14ac:dyDescent="0.25">
      <c r="A105" s="14" t="s">
        <v>127</v>
      </c>
      <c r="B105" s="14" t="s">
        <v>128</v>
      </c>
    </row>
    <row r="109" spans="1:2" x14ac:dyDescent="0.25">
      <c r="A109" s="13" t="s">
        <v>708</v>
      </c>
    </row>
    <row r="111" spans="1:2" x14ac:dyDescent="0.25">
      <c r="A111" t="s">
        <v>107</v>
      </c>
    </row>
    <row r="112" spans="1:2" x14ac:dyDescent="0.25">
      <c r="A112" t="s">
        <v>709</v>
      </c>
    </row>
    <row r="113" spans="1:2" x14ac:dyDescent="0.25">
      <c r="A113" t="s">
        <v>109</v>
      </c>
    </row>
    <row r="114" spans="1:2" x14ac:dyDescent="0.25">
      <c r="A114" t="s">
        <v>579</v>
      </c>
    </row>
    <row r="115" spans="1:2" x14ac:dyDescent="0.25">
      <c r="A115" t="s">
        <v>710</v>
      </c>
    </row>
    <row r="116" spans="1:2" x14ac:dyDescent="0.25">
      <c r="A116" t="s">
        <v>711</v>
      </c>
    </row>
    <row r="117" spans="1:2" x14ac:dyDescent="0.25">
      <c r="A117" t="s">
        <v>712</v>
      </c>
    </row>
    <row r="118" spans="1:2" x14ac:dyDescent="0.25">
      <c r="A118" t="s">
        <v>713</v>
      </c>
    </row>
    <row r="119" spans="1:2" x14ac:dyDescent="0.25">
      <c r="A119" t="s">
        <v>587</v>
      </c>
    </row>
    <row r="120" spans="1:2" x14ac:dyDescent="0.25">
      <c r="A120" t="s">
        <v>111</v>
      </c>
    </row>
    <row r="121" spans="1:2" x14ac:dyDescent="0.25">
      <c r="A121" t="s">
        <v>112</v>
      </c>
    </row>
    <row r="122" spans="1:2" x14ac:dyDescent="0.25">
      <c r="A122" t="s">
        <v>113</v>
      </c>
    </row>
    <row r="124" spans="1:2" x14ac:dyDescent="0.25">
      <c r="A124" t="s">
        <v>114</v>
      </c>
    </row>
    <row r="126" spans="1:2" x14ac:dyDescent="0.25">
      <c r="A126" t="s">
        <v>714</v>
      </c>
    </row>
    <row r="128" spans="1:2" x14ac:dyDescent="0.25">
      <c r="A128" t="s">
        <v>116</v>
      </c>
    </row>
    <row r="130" spans="1:2" x14ac:dyDescent="0.25">
      <c r="A130" t="s">
        <v>715</v>
      </c>
    </row>
    <row r="132" spans="1:2" x14ac:dyDescent="0.25">
      <c r="A132" t="s">
        <v>118</v>
      </c>
    </row>
    <row r="133" spans="1:2" x14ac:dyDescent="0.25">
      <c r="A133" s="14" t="s">
        <v>119</v>
      </c>
      <c r="B133" s="14" t="s">
        <v>120</v>
      </c>
    </row>
    <row r="134" spans="1:2" ht="30" x14ac:dyDescent="0.25">
      <c r="A134" s="14" t="s">
        <v>0</v>
      </c>
      <c r="B134" s="14" t="s">
        <v>716</v>
      </c>
    </row>
    <row r="135" spans="1:2" x14ac:dyDescent="0.25">
      <c r="A135" s="14" t="s">
        <v>717</v>
      </c>
      <c r="B135" s="14" t="s">
        <v>718</v>
      </c>
    </row>
    <row r="136" spans="1:2" x14ac:dyDescent="0.25">
      <c r="A136" s="14" t="s">
        <v>458</v>
      </c>
      <c r="B136" s="14" t="s">
        <v>719</v>
      </c>
    </row>
    <row r="137" spans="1:2" x14ac:dyDescent="0.25">
      <c r="A137" s="14" t="s">
        <v>720</v>
      </c>
      <c r="B137" s="14" t="s">
        <v>721</v>
      </c>
    </row>
    <row r="138" spans="1:2" ht="30" x14ac:dyDescent="0.25">
      <c r="A138" s="14" t="s">
        <v>722</v>
      </c>
      <c r="B138" s="14" t="s">
        <v>723</v>
      </c>
    </row>
    <row r="139" spans="1:2" ht="30" x14ac:dyDescent="0.25">
      <c r="A139" s="14" t="s">
        <v>606</v>
      </c>
      <c r="B139" s="14" t="s">
        <v>607</v>
      </c>
    </row>
    <row r="140" spans="1:2" x14ac:dyDescent="0.25">
      <c r="A140" s="14" t="s">
        <v>123</v>
      </c>
      <c r="B140" s="14" t="s">
        <v>124</v>
      </c>
    </row>
    <row r="141" spans="1:2" x14ac:dyDescent="0.25">
      <c r="A141" s="14" t="s">
        <v>125</v>
      </c>
      <c r="B141" s="14" t="s">
        <v>126</v>
      </c>
    </row>
    <row r="142" spans="1:2" x14ac:dyDescent="0.25">
      <c r="A142" s="14" t="s">
        <v>127</v>
      </c>
      <c r="B142" s="14" t="s">
        <v>128</v>
      </c>
    </row>
  </sheetData>
  <dataValidations count="2">
    <dataValidation type="list" allowBlank="1" showInputMessage="1" showErrorMessage="1" sqref="AZ16 BC3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AZ15 BB3">
      <formula1>"TARGET,UnitedKingdom::Exchange,UnitedKingdom::Metals,UnitedKingdom::Settlement,UnitedStates::GovernmentBond,UnitedStates::NERC,UnitedStates::NYSE,UnitedStates::Settlement,Switzerland,Japan,Italy::Exchange,NullCalendar"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26</vt:i4>
      </vt:variant>
    </vt:vector>
  </HeadingPairs>
  <TitlesOfParts>
    <vt:vector size="26" baseType="lpstr">
      <vt:lpstr>CurvaGVtItalia</vt:lpstr>
      <vt:lpstr>CurvaSwap6M</vt:lpstr>
      <vt:lpstr>CurvaEonia</vt:lpstr>
      <vt:lpstr>1.DatiInput_Swap6M</vt:lpstr>
      <vt:lpstr>1.DatiInputGVT</vt:lpstr>
      <vt:lpstr>1_DatiInput_Eonia</vt:lpstr>
      <vt:lpstr>2.Versione</vt:lpstr>
      <vt:lpstr>3.DataAnalisi</vt:lpstr>
      <vt:lpstr>4.Index_EONIA&amp;Swap6M</vt:lpstr>
      <vt:lpstr>5.Deposits_EONIA</vt:lpstr>
      <vt:lpstr>5.Deposits_Swap6M</vt:lpstr>
      <vt:lpstr>5.TassiGovernativi</vt:lpstr>
      <vt:lpstr>6.FRA_Swap6M</vt:lpstr>
      <vt:lpstr>6.Piecewise_YieldCurve_ITL</vt:lpstr>
      <vt:lpstr>6.OIS_EONIA</vt:lpstr>
      <vt:lpstr>7_Swap6M</vt:lpstr>
      <vt:lpstr>8.Piecewise_YieldCurve_EONIA</vt:lpstr>
      <vt:lpstr>7.RatesHelperSelection_EONIA</vt:lpstr>
      <vt:lpstr>8.RatesHelperSelection_SW6</vt:lpstr>
      <vt:lpstr>9.Piecewise_YieldCurve_SW6</vt:lpstr>
      <vt:lpstr>9.Curve</vt:lpstr>
      <vt:lpstr>10.CurvaEonia</vt:lpstr>
      <vt:lpstr>10.CurvaSwap6M</vt:lpstr>
      <vt:lpstr>10.CurvaGovernativa</vt:lpstr>
      <vt:lpstr>11.BondTassoFisso</vt:lpstr>
      <vt:lpstr>12.BondTassoVariabile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buttara4</cp:lastModifiedBy>
  <dcterms:created xsi:type="dcterms:W3CDTF">2017-04-16T16:58:15Z</dcterms:created>
  <dcterms:modified xsi:type="dcterms:W3CDTF">2017-04-26T13:07:10Z</dcterms:modified>
</cp:coreProperties>
</file>